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8583A2A-2D6A-4862-B814-5A7B287E9142}" xr6:coauthVersionLast="47" xr6:coauthVersionMax="47" xr10:uidLastSave="{00000000-0000-0000-0000-000000000000}"/>
  <bookViews>
    <workbookView xWindow="-120" yWindow="-120" windowWidth="29040" windowHeight="15840" tabRatio="598" firstSheet="3" activeTab="3" xr2:uid="{00000000-000D-0000-FFFF-FFFF00000000}"/>
  </bookViews>
  <sheets>
    <sheet name="Расчет Уфа" sheetId="72" state="hidden" r:id="rId1"/>
    <sheet name="Прайс Уфа" sheetId="74" state="hidden" r:id="rId2"/>
    <sheet name="Расчет Стерлитамак" sheetId="80" state="hidden" r:id="rId3"/>
    <sheet name="Прайс Стерлитамак" sheetId="79" r:id="rId4"/>
  </sheets>
  <definedNames>
    <definedName name="_xlnm.Print_Area" localSheetId="3">'Прайс Стерлитамак'!$A:$F</definedName>
    <definedName name="_xlnm.Print_Area" localSheetId="1">'Прайс Уфа'!$A$2:$E$43</definedName>
    <definedName name="_xlnm.Print_Area" localSheetId="2">'Расчет Стерлитамак'!$A$1:$R$36</definedName>
    <definedName name="_xlnm.Print_Area" localSheetId="0">'Расчет Уфа'!$A$1:$R$36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79" l="1"/>
  <c r="D13" i="79"/>
  <c r="D35" i="74"/>
  <c r="D29" i="74"/>
  <c r="D19" i="74"/>
  <c r="D18" i="74"/>
  <c r="D15" i="74"/>
  <c r="D14" i="74"/>
  <c r="D13" i="74"/>
  <c r="D12" i="74"/>
  <c r="D16" i="74" l="1"/>
  <c r="D17" i="74"/>
  <c r="C17" i="74"/>
  <c r="B17" i="74"/>
  <c r="D30" i="74" l="1"/>
  <c r="E9" i="79" l="1"/>
  <c r="E28" i="80" l="1"/>
  <c r="E27" i="80"/>
  <c r="E26" i="80"/>
  <c r="E20" i="80"/>
  <c r="E16" i="80"/>
  <c r="E13" i="80"/>
  <c r="E12" i="80"/>
  <c r="F54" i="80" l="1"/>
  <c r="F53" i="80"/>
  <c r="F51" i="80"/>
  <c r="L50" i="80"/>
  <c r="F50" i="80"/>
  <c r="F52" i="80" s="1"/>
  <c r="L49" i="80"/>
  <c r="L51" i="80" s="1"/>
  <c r="L52" i="80" s="1"/>
  <c r="L33" i="80"/>
  <c r="N33" i="80" s="1"/>
  <c r="L32" i="80"/>
  <c r="N32" i="80" s="1"/>
  <c r="L31" i="80"/>
  <c r="N31" i="80" s="1"/>
  <c r="L30" i="80"/>
  <c r="N30" i="80" s="1"/>
  <c r="Q30" i="80" s="1"/>
  <c r="P30" i="80" s="1"/>
  <c r="V30" i="80" s="1"/>
  <c r="L29" i="80"/>
  <c r="N29" i="80" s="1"/>
  <c r="L28" i="80"/>
  <c r="N28" i="80" s="1"/>
  <c r="L27" i="80"/>
  <c r="N27" i="80" s="1"/>
  <c r="L26" i="80"/>
  <c r="N26" i="80" s="1"/>
  <c r="Q26" i="80" s="1"/>
  <c r="P26" i="80" s="1"/>
  <c r="D28" i="79" s="1"/>
  <c r="L25" i="80"/>
  <c r="N25" i="80" s="1"/>
  <c r="L24" i="80"/>
  <c r="N24" i="80" s="1"/>
  <c r="L23" i="80"/>
  <c r="N23" i="80" s="1"/>
  <c r="L22" i="80"/>
  <c r="N22" i="80" s="1"/>
  <c r="L21" i="80"/>
  <c r="N21" i="80" s="1"/>
  <c r="L20" i="80"/>
  <c r="N20" i="80" s="1"/>
  <c r="L19" i="80"/>
  <c r="N19" i="80" s="1"/>
  <c r="L18" i="80"/>
  <c r="N18" i="80" s="1"/>
  <c r="L17" i="80"/>
  <c r="N17" i="80" s="1"/>
  <c r="L16" i="80"/>
  <c r="N16" i="80" s="1"/>
  <c r="L15" i="80"/>
  <c r="N15" i="80" s="1"/>
  <c r="L14" i="80"/>
  <c r="N14" i="80" s="1"/>
  <c r="L13" i="80"/>
  <c r="N13" i="80" s="1"/>
  <c r="L12" i="80"/>
  <c r="N12" i="80" s="1"/>
  <c r="Q12" i="80" s="1"/>
  <c r="L11" i="80"/>
  <c r="N11" i="80" s="1"/>
  <c r="L10" i="80"/>
  <c r="N10" i="80" s="1"/>
  <c r="Q10" i="80" s="1"/>
  <c r="P10" i="80" s="1"/>
  <c r="L9" i="80"/>
  <c r="N9" i="80" s="1"/>
  <c r="P5" i="80"/>
  <c r="S26" i="80" l="1"/>
  <c r="P12" i="80"/>
  <c r="U26" i="80"/>
  <c r="Q33" i="80"/>
  <c r="P33" i="80" s="1"/>
  <c r="Q22" i="80"/>
  <c r="P22" i="80" s="1"/>
  <c r="S22" i="80" s="1"/>
  <c r="Q18" i="80"/>
  <c r="P18" i="80" s="1"/>
  <c r="S18" i="80" s="1"/>
  <c r="Q14" i="80"/>
  <c r="P14" i="80" s="1"/>
  <c r="S14" i="80" s="1"/>
  <c r="Q15" i="80"/>
  <c r="P15" i="80" s="1"/>
  <c r="S15" i="80" s="1"/>
  <c r="Q29" i="80"/>
  <c r="P29" i="80" s="1"/>
  <c r="Q11" i="80"/>
  <c r="P11" i="80" s="1"/>
  <c r="R11" i="80" s="1"/>
  <c r="Q25" i="80"/>
  <c r="Q27" i="80"/>
  <c r="P27" i="80" s="1"/>
  <c r="D29" i="79" s="1"/>
  <c r="Q13" i="80"/>
  <c r="Q21" i="80"/>
  <c r="P21" i="80" s="1"/>
  <c r="S21" i="80" s="1"/>
  <c r="Q23" i="80"/>
  <c r="R30" i="80"/>
  <c r="U10" i="80"/>
  <c r="S10" i="80"/>
  <c r="Q31" i="80"/>
  <c r="P31" i="80" s="1"/>
  <c r="Q9" i="80"/>
  <c r="P9" i="80" s="1"/>
  <c r="R9" i="80" s="1"/>
  <c r="R10" i="80"/>
  <c r="Q17" i="80"/>
  <c r="P17" i="80" s="1"/>
  <c r="S17" i="80" s="1"/>
  <c r="Q19" i="80"/>
  <c r="U30" i="80"/>
  <c r="S30" i="80"/>
  <c r="Q20" i="80"/>
  <c r="Q24" i="80"/>
  <c r="Q28" i="80"/>
  <c r="P28" i="80" s="1"/>
  <c r="D30" i="79" s="1"/>
  <c r="Q32" i="80"/>
  <c r="P32" i="80" s="1"/>
  <c r="Q16" i="80"/>
  <c r="P16" i="80" s="1"/>
  <c r="D19" i="79" s="1"/>
  <c r="S16" i="80" l="1"/>
  <c r="S28" i="80"/>
  <c r="S12" i="80"/>
  <c r="S27" i="80"/>
  <c r="P20" i="80"/>
  <c r="S33" i="80"/>
  <c r="V33" i="80"/>
  <c r="S32" i="80"/>
  <c r="V32" i="80"/>
  <c r="R31" i="80"/>
  <c r="V31" i="80"/>
  <c r="P13" i="80"/>
  <c r="R29" i="80"/>
  <c r="V29" i="80"/>
  <c r="R26" i="80"/>
  <c r="V26" i="80"/>
  <c r="V16" i="80"/>
  <c r="P19" i="80"/>
  <c r="P25" i="80"/>
  <c r="P23" i="80"/>
  <c r="U23" i="80" s="1"/>
  <c r="P24" i="80"/>
  <c r="R14" i="80"/>
  <c r="V14" i="80"/>
  <c r="R18" i="80"/>
  <c r="V18" i="80"/>
  <c r="R22" i="80"/>
  <c r="V22" i="80"/>
  <c r="R17" i="80"/>
  <c r="V17" i="80"/>
  <c r="R21" i="80"/>
  <c r="V21" i="80"/>
  <c r="R27" i="80"/>
  <c r="V27" i="80"/>
  <c r="R15" i="80"/>
  <c r="V15" i="80"/>
  <c r="R33" i="80"/>
  <c r="U22" i="80"/>
  <c r="U18" i="80"/>
  <c r="R12" i="80"/>
  <c r="V12" i="80"/>
  <c r="U14" i="80"/>
  <c r="U17" i="80"/>
  <c r="R32" i="80"/>
  <c r="U21" i="80"/>
  <c r="U12" i="80"/>
  <c r="U31" i="80"/>
  <c r="S31" i="80"/>
  <c r="U11" i="80"/>
  <c r="S11" i="80"/>
  <c r="S9" i="80"/>
  <c r="U9" i="80"/>
  <c r="U27" i="80"/>
  <c r="S29" i="80"/>
  <c r="U29" i="80"/>
  <c r="U15" i="80"/>
  <c r="C29" i="74"/>
  <c r="L26" i="72"/>
  <c r="N26" i="72" s="1"/>
  <c r="Q26" i="72" s="1"/>
  <c r="P26" i="72" s="1"/>
  <c r="R20" i="80" l="1"/>
  <c r="D23" i="79"/>
  <c r="E29" i="74"/>
  <c r="S26" i="72"/>
  <c r="U20" i="80"/>
  <c r="R23" i="80"/>
  <c r="V20" i="80"/>
  <c r="V23" i="80"/>
  <c r="S23" i="80"/>
  <c r="S20" i="80"/>
  <c r="U24" i="80"/>
  <c r="S24" i="80"/>
  <c r="U25" i="80"/>
  <c r="S25" i="80"/>
  <c r="R13" i="80"/>
  <c r="S13" i="80"/>
  <c r="U19" i="80"/>
  <c r="S19" i="80"/>
  <c r="U13" i="80"/>
  <c r="V13" i="80"/>
  <c r="V28" i="80"/>
  <c r="U16" i="80"/>
  <c r="R16" i="80"/>
  <c r="U28" i="80"/>
  <c r="R28" i="80"/>
  <c r="V24" i="80"/>
  <c r="V25" i="80"/>
  <c r="V19" i="80"/>
  <c r="R19" i="80"/>
  <c r="R24" i="80"/>
  <c r="R25" i="80"/>
  <c r="R26" i="72"/>
  <c r="U26" i="72"/>
  <c r="B19" i="79"/>
  <c r="C35" i="79" l="1"/>
  <c r="A35" i="79"/>
  <c r="C34" i="79"/>
  <c r="A34" i="79"/>
  <c r="C33" i="79"/>
  <c r="B33" i="79"/>
  <c r="C32" i="79"/>
  <c r="B32" i="79"/>
  <c r="C31" i="79"/>
  <c r="B31" i="79"/>
  <c r="C30" i="79"/>
  <c r="B30" i="79"/>
  <c r="C29" i="79"/>
  <c r="B29" i="79"/>
  <c r="C27" i="79"/>
  <c r="B27" i="79"/>
  <c r="C26" i="79"/>
  <c r="B26" i="79"/>
  <c r="C25" i="79"/>
  <c r="B25" i="79"/>
  <c r="C24" i="79"/>
  <c r="B24" i="79"/>
  <c r="C23" i="79"/>
  <c r="C22" i="79"/>
  <c r="B22" i="79"/>
  <c r="C21" i="79"/>
  <c r="B21" i="79"/>
  <c r="C20" i="79"/>
  <c r="B20" i="79"/>
  <c r="C18" i="79"/>
  <c r="B18" i="79"/>
  <c r="C17" i="79"/>
  <c r="B17" i="79"/>
  <c r="C16" i="79"/>
  <c r="C15" i="79"/>
  <c r="B15" i="79"/>
  <c r="C14" i="79"/>
  <c r="B14" i="79"/>
  <c r="C12" i="79"/>
  <c r="B12" i="79"/>
  <c r="C35" i="74" l="1"/>
  <c r="C36" i="74"/>
  <c r="C32" i="74"/>
  <c r="C33" i="74"/>
  <c r="C34" i="74"/>
  <c r="C28" i="74"/>
  <c r="C30" i="74"/>
  <c r="C31" i="74"/>
  <c r="C25" i="74"/>
  <c r="C26" i="74"/>
  <c r="C27" i="74"/>
  <c r="C23" i="74"/>
  <c r="C24" i="74"/>
  <c r="C21" i="74"/>
  <c r="C22" i="74"/>
  <c r="C18" i="74"/>
  <c r="C19" i="74"/>
  <c r="C20" i="74"/>
  <c r="C13" i="74"/>
  <c r="C14" i="74"/>
  <c r="C15" i="74"/>
  <c r="C16" i="74"/>
  <c r="C12" i="74"/>
  <c r="A36" i="74" l="1"/>
  <c r="A35" i="74"/>
  <c r="B27" i="74"/>
  <c r="B22" i="74"/>
  <c r="L32" i="72"/>
  <c r="N32" i="72" s="1"/>
  <c r="L31" i="72"/>
  <c r="N31" i="72" s="1"/>
  <c r="L30" i="72"/>
  <c r="N30" i="72" s="1"/>
  <c r="L29" i="72"/>
  <c r="N29" i="72" s="1"/>
  <c r="L28" i="72"/>
  <c r="N28" i="72" s="1"/>
  <c r="L27" i="72"/>
  <c r="N27" i="72" s="1"/>
  <c r="L25" i="72"/>
  <c r="N25" i="72" s="1"/>
  <c r="L24" i="72"/>
  <c r="N24" i="72" s="1"/>
  <c r="L23" i="72"/>
  <c r="N23" i="72" s="1"/>
  <c r="L22" i="72"/>
  <c r="N22" i="72" s="1"/>
  <c r="L21" i="72"/>
  <c r="N21" i="72" s="1"/>
  <c r="L20" i="72"/>
  <c r="N20" i="72" s="1"/>
  <c r="L19" i="72"/>
  <c r="N19" i="72" s="1"/>
  <c r="L18" i="72"/>
  <c r="N18" i="72" s="1"/>
  <c r="L17" i="72"/>
  <c r="N17" i="72" s="1"/>
  <c r="L16" i="72"/>
  <c r="N16" i="72" s="1"/>
  <c r="L15" i="72"/>
  <c r="N15" i="72" s="1"/>
  <c r="Q32" i="72" l="1"/>
  <c r="P32" i="72" s="1"/>
  <c r="Q29" i="72"/>
  <c r="P29" i="72" s="1"/>
  <c r="D32" i="74" s="1"/>
  <c r="Q31" i="72"/>
  <c r="P31" i="72" s="1"/>
  <c r="D34" i="74" s="1"/>
  <c r="Q30" i="72"/>
  <c r="P30" i="72" s="1"/>
  <c r="D33" i="74" s="1"/>
  <c r="Q25" i="72"/>
  <c r="P25" i="72" s="1"/>
  <c r="D28" i="74" s="1"/>
  <c r="Q27" i="72"/>
  <c r="P27" i="72" s="1"/>
  <c r="Q28" i="72"/>
  <c r="P28" i="72" s="1"/>
  <c r="D31" i="74" s="1"/>
  <c r="Q23" i="72"/>
  <c r="P23" i="72" s="1"/>
  <c r="D26" i="74" s="1"/>
  <c r="Q24" i="72"/>
  <c r="P24" i="72" s="1"/>
  <c r="S24" i="72" s="1"/>
  <c r="Q22" i="72"/>
  <c r="P22" i="72" s="1"/>
  <c r="D25" i="74" s="1"/>
  <c r="Q20" i="72"/>
  <c r="P20" i="72" s="1"/>
  <c r="D23" i="74" s="1"/>
  <c r="Q21" i="72"/>
  <c r="P21" i="72" s="1"/>
  <c r="D24" i="74" s="1"/>
  <c r="Q18" i="72"/>
  <c r="P18" i="72" s="1"/>
  <c r="D21" i="74" s="1"/>
  <c r="Q19" i="72"/>
  <c r="P19" i="72" s="1"/>
  <c r="S19" i="72" s="1"/>
  <c r="Q15" i="72"/>
  <c r="P15" i="72" s="1"/>
  <c r="Q16" i="72"/>
  <c r="P16" i="72" s="1"/>
  <c r="Q17" i="72"/>
  <c r="P17" i="72" s="1"/>
  <c r="D20" i="74" s="1"/>
  <c r="E19" i="74" l="1"/>
  <c r="E33" i="74"/>
  <c r="F32" i="79" s="1"/>
  <c r="E26" i="74"/>
  <c r="E25" i="74"/>
  <c r="E34" i="74"/>
  <c r="F33" i="79" s="1"/>
  <c r="E23" i="74"/>
  <c r="E20" i="74"/>
  <c r="E21" i="74"/>
  <c r="E18" i="74"/>
  <c r="E31" i="74"/>
  <c r="E28" i="74"/>
  <c r="E35" i="74"/>
  <c r="F34" i="79" s="1"/>
  <c r="E24" i="74"/>
  <c r="E30" i="74"/>
  <c r="E32" i="74"/>
  <c r="F31" i="79" s="1"/>
  <c r="S28" i="72"/>
  <c r="S20" i="72"/>
  <c r="S15" i="72"/>
  <c r="S16" i="72"/>
  <c r="S21" i="72"/>
  <c r="S23" i="72"/>
  <c r="S30" i="72"/>
  <c r="S31" i="72"/>
  <c r="S22" i="72"/>
  <c r="S27" i="72"/>
  <c r="S29" i="72"/>
  <c r="S17" i="72"/>
  <c r="S18" i="72"/>
  <c r="S25" i="72"/>
  <c r="S32" i="72"/>
  <c r="E25" i="79"/>
  <c r="E24" i="79"/>
  <c r="E20" i="79"/>
  <c r="R17" i="72"/>
  <c r="R24" i="72"/>
  <c r="D27" i="74"/>
  <c r="E27" i="74" s="1"/>
  <c r="D22" i="74"/>
  <c r="E22" i="74" s="1"/>
  <c r="R29" i="72"/>
  <c r="R30" i="72"/>
  <c r="R23" i="72"/>
  <c r="R18" i="72"/>
  <c r="R15" i="72"/>
  <c r="R32" i="72"/>
  <c r="R31" i="72"/>
  <c r="R27" i="72"/>
  <c r="R28" i="72"/>
  <c r="R25" i="72"/>
  <c r="R22" i="72"/>
  <c r="R21" i="72"/>
  <c r="R20" i="72"/>
  <c r="R19" i="72"/>
  <c r="R16" i="72"/>
  <c r="D32" i="79" l="1"/>
  <c r="E26" i="79"/>
  <c r="E18" i="79"/>
  <c r="D33" i="79"/>
  <c r="E21" i="79"/>
  <c r="D31" i="79"/>
  <c r="E27" i="79"/>
  <c r="D34" i="79"/>
  <c r="E22" i="79"/>
  <c r="G24" i="74"/>
  <c r="G23" i="74"/>
  <c r="G19" i="74"/>
  <c r="G20" i="74"/>
  <c r="G18" i="74"/>
  <c r="G34" i="79" l="1"/>
  <c r="I34" i="79"/>
  <c r="P5" i="72"/>
  <c r="F54" i="72" l="1"/>
  <c r="F53" i="72"/>
  <c r="F51" i="72"/>
  <c r="L50" i="72"/>
  <c r="F50" i="72"/>
  <c r="L49" i="72"/>
  <c r="L33" i="72"/>
  <c r="N33" i="72" s="1"/>
  <c r="L14" i="72"/>
  <c r="N14" i="72" s="1"/>
  <c r="Q14" i="72" s="1"/>
  <c r="P14" i="72" s="1"/>
  <c r="L13" i="72"/>
  <c r="N13" i="72" s="1"/>
  <c r="L12" i="72"/>
  <c r="N12" i="72" s="1"/>
  <c r="L11" i="72"/>
  <c r="N11" i="72" s="1"/>
  <c r="Q11" i="72" s="1"/>
  <c r="P11" i="72" s="1"/>
  <c r="L10" i="72"/>
  <c r="N10" i="72" s="1"/>
  <c r="L9" i="72"/>
  <c r="N9" i="72" s="1"/>
  <c r="S11" i="72" l="1"/>
  <c r="E14" i="74"/>
  <c r="E17" i="74"/>
  <c r="S14" i="72"/>
  <c r="F52" i="72"/>
  <c r="L51" i="72"/>
  <c r="L52" i="72" s="1"/>
  <c r="R14" i="72"/>
  <c r="R11" i="72"/>
  <c r="Q9" i="72"/>
  <c r="P9" i="72" s="1"/>
  <c r="Q12" i="72"/>
  <c r="P12" i="72" s="1"/>
  <c r="Q13" i="72"/>
  <c r="P13" i="72" s="1"/>
  <c r="Q10" i="72"/>
  <c r="P10" i="72" s="1"/>
  <c r="Q33" i="72"/>
  <c r="P33" i="72" s="1"/>
  <c r="E12" i="74" l="1"/>
  <c r="E16" i="74"/>
  <c r="E15" i="74"/>
  <c r="E13" i="74"/>
  <c r="S13" i="72"/>
  <c r="S10" i="72"/>
  <c r="S9" i="72"/>
  <c r="S12" i="72"/>
  <c r="E15" i="79"/>
  <c r="D36" i="74"/>
  <c r="S33" i="72"/>
  <c r="R10" i="72"/>
  <c r="R33" i="72"/>
  <c r="R13" i="72"/>
  <c r="R12" i="72"/>
  <c r="R9" i="72"/>
  <c r="E36" i="74" l="1"/>
  <c r="F35" i="79" s="1"/>
  <c r="D35" i="79"/>
  <c r="G35" i="79" s="1"/>
  <c r="E12" i="79"/>
  <c r="G12" i="74"/>
  <c r="E14" i="79"/>
  <c r="E17" i="79"/>
  <c r="G17" i="74"/>
  <c r="G14" i="74"/>
  <c r="G36" i="74"/>
  <c r="G35" i="74"/>
  <c r="G16" i="74"/>
  <c r="U31" i="72"/>
  <c r="U28" i="72"/>
  <c r="U20" i="72"/>
  <c r="U23" i="72"/>
  <c r="U15" i="72"/>
  <c r="U22" i="72"/>
  <c r="U18" i="72"/>
  <c r="U27" i="72"/>
  <c r="U30" i="72"/>
  <c r="U19" i="72"/>
  <c r="U25" i="72"/>
  <c r="U12" i="72"/>
  <c r="U13" i="72"/>
  <c r="U29" i="72"/>
  <c r="U11" i="72"/>
  <c r="U14" i="72"/>
  <c r="U10" i="72"/>
  <c r="U24" i="72"/>
  <c r="U16" i="72"/>
  <c r="U21" i="72"/>
  <c r="U17" i="72"/>
  <c r="U9" i="72"/>
  <c r="I35" i="79" l="1"/>
  <c r="G15" i="74"/>
  <c r="G13" i="74"/>
</calcChain>
</file>

<file path=xl/sharedStrings.xml><?xml version="1.0" encoding="utf-8"?>
<sst xmlns="http://schemas.openxmlformats.org/spreadsheetml/2006/main" count="291" uniqueCount="116">
  <si>
    <t>Рентабельность</t>
  </si>
  <si>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</si>
  <si>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</si>
  <si>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</si>
  <si>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</si>
  <si>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</si>
  <si>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</si>
  <si>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</si>
  <si>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Прочие затраты, руб./тн.</t>
  </si>
  <si>
    <t>ВСЕГО руб./тн.</t>
  </si>
  <si>
    <t>Отгрузка/ погрузка, руб./тн.</t>
  </si>
  <si>
    <t>Тр-ые расходы, руб./тн.</t>
  </si>
  <si>
    <t>Демонтаж/ переработка руб./тн.</t>
  </si>
  <si>
    <t>Отгрузка (работа техники) руб./тн.</t>
  </si>
  <si>
    <t>Прибыль с 1 тн.</t>
  </si>
  <si>
    <t>Согласовано:</t>
  </si>
  <si>
    <t>Цена покупки нетто (руб.)</t>
  </si>
  <si>
    <t>Утверждаю:</t>
  </si>
  <si>
    <t>по г. Уфа</t>
  </si>
  <si>
    <t>Характеристика</t>
  </si>
  <si>
    <t>Юридические        лица</t>
  </si>
  <si>
    <t>Физические               лица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</si>
  <si>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</si>
  <si>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</si>
  <si>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</si>
  <si>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</si>
  <si>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</si>
  <si>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</si>
  <si>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</si>
  <si>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</si>
  <si>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при вывозе транспортом Поставщика</t>
    </r>
  </si>
  <si>
    <t>Алюминий</t>
  </si>
  <si>
    <t>А 1-2</t>
  </si>
  <si>
    <t>А 1-3</t>
  </si>
  <si>
    <t>Б</t>
  </si>
  <si>
    <t>Проводники тока разделанные механическим способом</t>
  </si>
  <si>
    <t>Пищевая емкость, провод в бумажной х/б и ПВХ изоляции</t>
  </si>
  <si>
    <t>Сталеалюминиевые провода в бухтах, толщина от 6 мм</t>
  </si>
  <si>
    <t>Сплавы деформируемые, листы, обрезь.</t>
  </si>
  <si>
    <t>Стружка разносортная</t>
  </si>
  <si>
    <t>Наименование</t>
  </si>
  <si>
    <t>Класс, группа, сорт</t>
  </si>
  <si>
    <t>Заготовительные цены на лом и отходы цветных металлов и сплавов</t>
  </si>
  <si>
    <t>Медь</t>
  </si>
  <si>
    <t>Бронза</t>
  </si>
  <si>
    <t>Латунь</t>
  </si>
  <si>
    <t>Титан</t>
  </si>
  <si>
    <t>Свинец</t>
  </si>
  <si>
    <t>ПБ "Химпром"</t>
  </si>
  <si>
    <t>Кабель</t>
  </si>
  <si>
    <t>Электродвигатели</t>
  </si>
  <si>
    <t>ТНЖ</t>
  </si>
  <si>
    <t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t>
  </si>
  <si>
    <t>Проводники тока и отходы проката в лаке, с пайкой, после обжига</t>
  </si>
  <si>
    <t>Стружка</t>
  </si>
  <si>
    <t>Кусковой лом</t>
  </si>
  <si>
    <t>Кусковой лом, сантехника, трубки, чайники, самовары, сепараторы</t>
  </si>
  <si>
    <t>Кусковой лом (чистый) ВТ 1-00</t>
  </si>
  <si>
    <t>Кусковой лом ВТ-5, ВТ-20 (микс)</t>
  </si>
  <si>
    <t>Стружка смешанная</t>
  </si>
  <si>
    <t>Рольный (мягкий), кабельная оболочка, листы свинцовые</t>
  </si>
  <si>
    <t>Силовой кабель с алюминиевой жилой (по % выхода алюминия)</t>
  </si>
  <si>
    <t>Контрольный кабель с алюминиевый жилой, содержание алюминия до 20%</t>
  </si>
  <si>
    <t>Силовой и контрольный кабель с медной жилой (по % выхода меди)</t>
  </si>
  <si>
    <t xml:space="preserve">Электродвигатели масса от 50 кг, </t>
  </si>
  <si>
    <t>Железо-никелевые аккумуляторы, масса от 10 кг</t>
  </si>
  <si>
    <t xml:space="preserve">г. Стерлитамак, ул. 40-ой проезд, 10			</t>
  </si>
  <si>
    <t>А 9/13, 3/8</t>
  </si>
  <si>
    <t>Аккумуляторы, корпус из эбонита или карболита  (с электролитом -10% засор, без электролита — 5%)</t>
  </si>
  <si>
    <t>Аккумуляторы, корпус из полипропилена (с электролитом -10% засор, без электролита — 5%)</t>
  </si>
  <si>
    <t>Алюминий сортовой</t>
  </si>
  <si>
    <t>Алюминий микс</t>
  </si>
  <si>
    <t>Бронза/                         Латунь</t>
  </si>
  <si>
    <t>Аккумуляторы</t>
  </si>
  <si>
    <t>Рольный (мягкий), кабельная оболочка, листы свинцовые, переплав, грузы</t>
  </si>
  <si>
    <t>Жилы силовых кабелей (очищенные механическим путем), провод без изоляции, шины, пищевая емкость, дверные, оконные профили</t>
  </si>
  <si>
    <t>Кусковая медь, проводники тока и отходы проката в лаке, с пайкой, после обжига, чистые</t>
  </si>
  <si>
    <t>Дверные, оконные профили без стальных примесей.</t>
  </si>
  <si>
    <t>Переплав свинца, автомобильные грузики</t>
  </si>
  <si>
    <t>А2</t>
  </si>
  <si>
    <t>А5</t>
  </si>
  <si>
    <t>А4</t>
  </si>
  <si>
    <t>А29</t>
  </si>
  <si>
    <t>А22</t>
  </si>
  <si>
    <t>М1</t>
  </si>
  <si>
    <t>М2</t>
  </si>
  <si>
    <t>М8</t>
  </si>
  <si>
    <t>Бр14</t>
  </si>
  <si>
    <t>Л14</t>
  </si>
  <si>
    <t>Л21</t>
  </si>
  <si>
    <t>Т1</t>
  </si>
  <si>
    <t>Т4</t>
  </si>
  <si>
    <t>С4</t>
  </si>
  <si>
    <t>С7</t>
  </si>
  <si>
    <t>С12</t>
  </si>
  <si>
    <t>С10</t>
  </si>
  <si>
    <t>А26</t>
  </si>
  <si>
    <t>М12</t>
  </si>
  <si>
    <t>М9</t>
  </si>
  <si>
    <t>Физические лица</t>
  </si>
  <si>
    <t>Расчёт ценообразования прайслиста</t>
  </si>
  <si>
    <t>Директор ООО "Ферроком"</t>
  </si>
  <si>
    <t>Кукарин В.В.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</si>
  <si>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                                                                      при вывозе транспортом Поставщика</t>
    </r>
  </si>
  <si>
    <t>% банка, 11% годовых, руб./тн.</t>
  </si>
  <si>
    <t>Сплавы деформируемые, листы, обрезь, моторный алюминий.</t>
  </si>
  <si>
    <t>ПБ Стерлитамак</t>
  </si>
  <si>
    <t>_________________  Кукарин В.В.</t>
  </si>
  <si>
    <t>____________________  Кукарин В.В.</t>
  </si>
  <si>
    <t>Переплав свинца</t>
  </si>
  <si>
    <t>Вд.экономист                                                                             Валиев Р. К.</t>
  </si>
  <si>
    <t>Зам. директора по сбыту                                                        Брановец О. И.</t>
  </si>
  <si>
    <t>При вывозе лома Транспортом Покупателя стоимость работы а/м составляет 2 600 руб./час.</t>
  </si>
  <si>
    <t>А31</t>
  </si>
  <si>
    <t>Лом и отходы алюминиевых радиаторов (засор не менее 45%)</t>
  </si>
  <si>
    <t>от 17.01.2023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</si>
</sst>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>
      <alignment horizontal="left"/>
    </xf>
    <xf numFmtId="0" fontId="9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18" xfId="0" applyNumberFormat="1" applyFont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Border="1" applyAlignment="1" applyProtection="1">
      <alignment horizontal="center" vertical="center"/>
      <protection hidden="1"/>
    </xf>
    <xf numFmtId="3" fontId="5" fillId="3" borderId="31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protection locked="0" hidden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0" fontId="0" fillId="0" borderId="30" xfId="0" applyBorder="1"/>
    <xf numFmtId="3" fontId="14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5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4" fillId="2" borderId="3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3" fontId="16" fillId="0" borderId="63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14" fillId="0" borderId="62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3" fontId="14" fillId="0" borderId="72" xfId="0" applyNumberFormat="1" applyFont="1" applyBorder="1" applyAlignment="1">
      <alignment horizontal="center" vertical="center"/>
    </xf>
    <xf numFmtId="3" fontId="16" fillId="0" borderId="7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wrapText="1"/>
    </xf>
    <xf numFmtId="0" fontId="10" fillId="0" borderId="0" xfId="0" applyNumberFormat="1" applyFont="1" applyAlignment="1">
      <alignment horizontal="left" vertical="center" wrapText="1"/>
    </xf>
    <xf numFmtId="0" fontId="6" fillId="0" borderId="0" xfId="2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wrapText="1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6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 vertical="center"/>
    </xf>
    <xf numFmtId="3" fontId="16" fillId="0" borderId="85" xfId="0" applyNumberFormat="1" applyFont="1" applyBorder="1" applyAlignment="1">
      <alignment horizontal="center" vertical="center"/>
    </xf>
    <xf numFmtId="3" fontId="14" fillId="0" borderId="84" xfId="0" applyNumberFormat="1" applyFont="1" applyBorder="1" applyAlignment="1">
      <alignment horizontal="center" vertical="center"/>
    </xf>
    <xf numFmtId="0" fontId="18" fillId="0" borderId="0" xfId="0" applyFont="1"/>
    <xf numFmtId="3" fontId="14" fillId="0" borderId="8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3" fontId="3" fillId="3" borderId="87" xfId="0" applyNumberFormat="1" applyFont="1" applyFill="1" applyBorder="1" applyAlignment="1">
      <alignment horizontal="center" vertical="center" wrapText="1"/>
    </xf>
    <xf numFmtId="3" fontId="3" fillId="0" borderId="88" xfId="0" applyNumberFormat="1" applyFont="1" applyBorder="1" applyAlignment="1">
      <alignment horizontal="center" vertical="center" wrapText="1"/>
    </xf>
    <xf numFmtId="1" fontId="3" fillId="0" borderId="76" xfId="0" applyNumberFormat="1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3" borderId="9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93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 wrapText="1"/>
    </xf>
    <xf numFmtId="3" fontId="14" fillId="0" borderId="85" xfId="0" applyNumberFormat="1" applyFont="1" applyBorder="1" applyAlignment="1">
      <alignment horizontal="center" vertical="center"/>
    </xf>
    <xf numFmtId="0" fontId="14" fillId="0" borderId="98" xfId="0" applyNumberFormat="1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18" fillId="0" borderId="9" xfId="0" applyFont="1" applyBorder="1"/>
    <xf numFmtId="3" fontId="14" fillId="0" borderId="45" xfId="0" applyNumberFormat="1" applyFont="1" applyBorder="1" applyAlignment="1">
      <alignment horizontal="center" vertical="center"/>
    </xf>
    <xf numFmtId="3" fontId="14" fillId="0" borderId="100" xfId="0" applyNumberFormat="1" applyFont="1" applyBorder="1" applyAlignment="1">
      <alignment horizontal="center" vertical="center"/>
    </xf>
    <xf numFmtId="0" fontId="18" fillId="0" borderId="55" xfId="0" applyFont="1" applyBorder="1"/>
    <xf numFmtId="0" fontId="14" fillId="0" borderId="101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8" fillId="0" borderId="98" xfId="0" applyFont="1" applyBorder="1"/>
    <xf numFmtId="0" fontId="0" fillId="0" borderId="83" xfId="0" applyNumberFormat="1" applyBorder="1" applyAlignment="1">
      <alignment horizontal="center" wrapText="1"/>
    </xf>
    <xf numFmtId="3" fontId="3" fillId="0" borderId="87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5" fillId="3" borderId="48" xfId="0" applyNumberFormat="1" applyFont="1" applyFill="1" applyBorder="1" applyAlignment="1">
      <alignment horizontal="center" vertical="center"/>
    </xf>
    <xf numFmtId="164" fontId="4" fillId="0" borderId="78" xfId="0" applyNumberFormat="1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Border="1" applyAlignment="1" applyProtection="1">
      <alignment horizontal="center" vertical="center"/>
      <protection hidden="1"/>
    </xf>
    <xf numFmtId="164" fontId="4" fillId="0" borderId="33" xfId="0" applyNumberFormat="1" applyFont="1" applyBorder="1" applyAlignment="1" applyProtection="1">
      <alignment horizontal="center" vertical="center"/>
      <protection hidden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90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3" fillId="3" borderId="102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>
      <alignment horizontal="center" vertical="center"/>
    </xf>
    <xf numFmtId="3" fontId="5" fillId="3" borderId="51" xfId="0" applyNumberFormat="1" applyFont="1" applyFill="1" applyBorder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82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2" fontId="6" fillId="0" borderId="83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96" xfId="0" applyNumberFormat="1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97" xfId="0" applyNumberFormat="1" applyFont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2730499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4841874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96526E-319E-47E5-80AD-6099E99623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37845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FCBD-F2A5-42FE-A023-FCFBDEEC6BDE}">
  <sheetPr>
    <pageSetUpPr fitToPage="1"/>
  </sheetPr>
  <dimension ref="A1:AB54"/>
  <sheetViews>
    <sheetView view="pageBreakPreview" topLeftCell="A2" zoomScale="55" zoomScaleNormal="55" zoomScaleSheetLayoutView="55" workbookViewId="0">
      <selection activeCell="E12" sqref="E12"/>
    </sheetView>
  </sheetViews>
  <sheetFormatPr defaultRowHeight="21" x14ac:dyDescent="0.25"/>
  <cols>
    <col min="1" max="1" width="10.625" customWidth="1"/>
    <col min="2" max="2" width="15.625" customWidth="1"/>
    <col min="3" max="3" width="80.625" customWidth="1"/>
    <col min="4" max="14" width="15.625" customWidth="1"/>
    <col min="15" max="15" width="10.625" customWidth="1"/>
    <col min="16" max="16" width="15.625" style="8" customWidth="1"/>
    <col min="17" max="17" width="1.625" style="38" customWidth="1"/>
    <col min="18" max="18" width="12.625" style="41" customWidth="1"/>
    <col min="19" max="19" width="12.625" customWidth="1"/>
    <col min="20" max="20" width="17.625" customWidth="1"/>
  </cols>
  <sheetData>
    <row r="1" spans="1:21" ht="18.75" hidden="1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"/>
    </row>
    <row r="2" spans="1:21" ht="30" customHeight="1" x14ac:dyDescent="0.25">
      <c r="A2" s="43"/>
      <c r="B2" s="82"/>
      <c r="C2" s="43"/>
      <c r="D2" s="43"/>
      <c r="E2" s="43"/>
      <c r="F2" s="43"/>
      <c r="G2" s="43"/>
      <c r="H2" s="43"/>
      <c r="I2" s="43"/>
      <c r="J2" s="43"/>
      <c r="K2" s="43"/>
      <c r="L2" s="43"/>
      <c r="M2" s="47" t="s">
        <v>15</v>
      </c>
      <c r="N2" s="48"/>
      <c r="O2" s="48"/>
      <c r="P2" s="46"/>
      <c r="R2" s="42"/>
    </row>
    <row r="3" spans="1:21" ht="30" customHeight="1" x14ac:dyDescent="0.35">
      <c r="A3" s="43"/>
      <c r="B3" s="82"/>
      <c r="C3" s="43"/>
      <c r="D3" s="43"/>
      <c r="E3" s="43"/>
      <c r="F3" s="43"/>
      <c r="G3" s="43"/>
      <c r="H3" s="43"/>
      <c r="I3" s="43"/>
      <c r="J3" s="43"/>
      <c r="K3" s="59" t="s">
        <v>101</v>
      </c>
      <c r="L3" s="43"/>
      <c r="N3" s="60"/>
      <c r="O3" s="60"/>
      <c r="P3" s="254" t="s">
        <v>102</v>
      </c>
      <c r="Q3" s="254"/>
      <c r="R3" s="254"/>
    </row>
    <row r="4" spans="1:21" ht="30" customHeight="1" x14ac:dyDescent="0.25">
      <c r="A4" s="43"/>
      <c r="B4" s="82"/>
      <c r="C4" s="43"/>
      <c r="D4" s="43"/>
      <c r="E4" s="43"/>
      <c r="F4" s="43"/>
      <c r="G4" s="43"/>
      <c r="H4" s="43"/>
      <c r="I4" s="43"/>
      <c r="J4" s="43"/>
      <c r="K4" s="43"/>
      <c r="L4" s="43"/>
      <c r="M4" s="47"/>
      <c r="N4" s="48"/>
      <c r="O4" s="48"/>
      <c r="P4" s="46"/>
      <c r="R4" s="42"/>
    </row>
    <row r="5" spans="1:21" ht="30" customHeight="1" x14ac:dyDescent="0.25">
      <c r="A5" s="267" t="s">
        <v>100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45"/>
      <c r="P5" s="255" t="str">
        <f>'Прайс Уфа'!E9</f>
        <v>от 17.01.2023 г.</v>
      </c>
      <c r="Q5" s="255"/>
      <c r="R5" s="255"/>
    </row>
    <row r="6" spans="1:21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R6" s="42"/>
    </row>
    <row r="7" spans="1:21" ht="30" customHeight="1" thickBot="1" x14ac:dyDescent="0.3">
      <c r="A7" s="270" t="s">
        <v>2</v>
      </c>
      <c r="B7" s="271"/>
      <c r="C7" s="258" t="s">
        <v>4</v>
      </c>
      <c r="D7" s="258" t="s">
        <v>5</v>
      </c>
      <c r="E7" s="260" t="s">
        <v>1</v>
      </c>
      <c r="F7" s="262" t="s">
        <v>3</v>
      </c>
      <c r="G7" s="263"/>
      <c r="H7" s="263"/>
      <c r="I7" s="263"/>
      <c r="J7" s="263"/>
      <c r="K7" s="263"/>
      <c r="L7" s="263"/>
      <c r="M7" s="263"/>
      <c r="N7" s="264"/>
      <c r="O7" s="265" t="s">
        <v>0</v>
      </c>
      <c r="P7" s="268" t="s">
        <v>16</v>
      </c>
      <c r="R7" s="256" t="s">
        <v>14</v>
      </c>
    </row>
    <row r="8" spans="1:21" ht="90" customHeight="1" thickBot="1" x14ac:dyDescent="0.3">
      <c r="A8" s="272"/>
      <c r="B8" s="273"/>
      <c r="C8" s="259"/>
      <c r="D8" s="259"/>
      <c r="E8" s="261"/>
      <c r="F8" s="27" t="s">
        <v>11</v>
      </c>
      <c r="G8" s="44" t="s">
        <v>104</v>
      </c>
      <c r="H8" s="44" t="s">
        <v>10</v>
      </c>
      <c r="I8" s="18" t="s">
        <v>13</v>
      </c>
      <c r="J8" s="28" t="s">
        <v>12</v>
      </c>
      <c r="K8" s="28" t="s">
        <v>7</v>
      </c>
      <c r="L8" s="28" t="s">
        <v>6</v>
      </c>
      <c r="M8" s="28" t="s">
        <v>8</v>
      </c>
      <c r="N8" s="29" t="s">
        <v>9</v>
      </c>
      <c r="O8" s="266"/>
      <c r="P8" s="269"/>
      <c r="R8" s="256"/>
      <c r="S8" s="81" t="s">
        <v>29</v>
      </c>
      <c r="T8" s="80" t="s">
        <v>28</v>
      </c>
    </row>
    <row r="9" spans="1:21" ht="35.1" customHeight="1" thickBot="1" x14ac:dyDescent="0.3">
      <c r="A9" s="246" t="s">
        <v>31</v>
      </c>
      <c r="B9" s="84" t="s">
        <v>79</v>
      </c>
      <c r="C9" s="21" t="s">
        <v>35</v>
      </c>
      <c r="D9" s="87" t="s">
        <v>48</v>
      </c>
      <c r="E9" s="22">
        <v>150000</v>
      </c>
      <c r="F9" s="26">
        <v>2000</v>
      </c>
      <c r="G9" s="88">
        <v>424.44931506849315</v>
      </c>
      <c r="H9" s="89">
        <v>350</v>
      </c>
      <c r="I9" s="23"/>
      <c r="J9" s="23"/>
      <c r="K9" s="24">
        <v>0</v>
      </c>
      <c r="L9" s="25">
        <f t="shared" ref="L9:L33" si="0">E9*K9%</f>
        <v>0</v>
      </c>
      <c r="M9" s="21"/>
      <c r="N9" s="33">
        <f>L9+H9+G9+F9+J9+M9+I9</f>
        <v>2774.449315068493</v>
      </c>
      <c r="O9" s="52">
        <v>0.06</v>
      </c>
      <c r="P9" s="56">
        <f t="shared" ref="P9:P33" si="1">FLOOR(Q9-(Q9*O9),100)</f>
        <v>138300</v>
      </c>
      <c r="Q9" s="39">
        <f t="shared" ref="Q9:Q33" si="2">E9-N9</f>
        <v>147225.55068493151</v>
      </c>
      <c r="R9" s="50">
        <f>E9-N9-P9</f>
        <v>8925.5506849315134</v>
      </c>
      <c r="S9" s="79">
        <f>P9*11%/365*14</f>
        <v>583.51232876712334</v>
      </c>
      <c r="T9" s="56">
        <v>109200</v>
      </c>
      <c r="U9" s="49">
        <f>P9-T9</f>
        <v>29100</v>
      </c>
    </row>
    <row r="10" spans="1:21" ht="35.1" customHeight="1" thickBot="1" x14ac:dyDescent="0.3">
      <c r="A10" s="247"/>
      <c r="B10" s="85" t="s">
        <v>80</v>
      </c>
      <c r="C10" s="2" t="s">
        <v>36</v>
      </c>
      <c r="D10" s="15" t="s">
        <v>48</v>
      </c>
      <c r="E10" s="19">
        <v>140000</v>
      </c>
      <c r="F10" s="26">
        <v>2000</v>
      </c>
      <c r="G10" s="32">
        <v>404.61917808219175</v>
      </c>
      <c r="H10" s="16">
        <v>350</v>
      </c>
      <c r="I10" s="9"/>
      <c r="J10" s="9"/>
      <c r="K10" s="10">
        <v>0</v>
      </c>
      <c r="L10" s="11">
        <f t="shared" si="0"/>
        <v>0</v>
      </c>
      <c r="M10" s="2"/>
      <c r="N10" s="34">
        <f>L10+H10+G10+F10+J10+M10+I10</f>
        <v>2754.6191780821919</v>
      </c>
      <c r="O10" s="53">
        <v>0.06</v>
      </c>
      <c r="P10" s="57">
        <f t="shared" si="1"/>
        <v>129000</v>
      </c>
      <c r="Q10" s="39">
        <f t="shared" si="2"/>
        <v>137245.38082191782</v>
      </c>
      <c r="R10" s="51">
        <f t="shared" ref="R10:R33" si="3">E10-N10-P10</f>
        <v>8245.3808219178172</v>
      </c>
      <c r="S10" s="79">
        <f t="shared" ref="S10:S32" si="4">P10*11%/365*14</f>
        <v>544.27397260273983</v>
      </c>
      <c r="T10" s="57">
        <v>103700</v>
      </c>
      <c r="U10" s="49">
        <f t="shared" ref="U10:U14" si="5">P10-T10</f>
        <v>25300</v>
      </c>
    </row>
    <row r="11" spans="1:21" s="8" customFormat="1" ht="35.1" customHeight="1" thickBot="1" x14ac:dyDescent="0.3">
      <c r="A11" s="247"/>
      <c r="B11" s="85" t="s">
        <v>81</v>
      </c>
      <c r="C11" s="15" t="s">
        <v>77</v>
      </c>
      <c r="D11" s="15" t="s">
        <v>48</v>
      </c>
      <c r="E11" s="19">
        <v>135000</v>
      </c>
      <c r="F11" s="26">
        <v>2000</v>
      </c>
      <c r="G11" s="32">
        <v>242.60273972602741</v>
      </c>
      <c r="H11" s="89">
        <v>350</v>
      </c>
      <c r="I11" s="16"/>
      <c r="J11" s="16"/>
      <c r="K11" s="17">
        <v>0</v>
      </c>
      <c r="L11" s="36">
        <f t="shared" si="0"/>
        <v>0</v>
      </c>
      <c r="M11" s="15"/>
      <c r="N11" s="34">
        <f t="shared" ref="N11:N14" si="6">L11+H11+G11+F11+J11+M11+I11</f>
        <v>2592.6027397260273</v>
      </c>
      <c r="O11" s="54">
        <v>7.0000000000000007E-2</v>
      </c>
      <c r="P11" s="57">
        <f t="shared" si="1"/>
        <v>123100</v>
      </c>
      <c r="Q11" s="40">
        <f t="shared" si="2"/>
        <v>132407.39726027398</v>
      </c>
      <c r="R11" s="51">
        <f t="shared" si="3"/>
        <v>9307.3972602739814</v>
      </c>
      <c r="S11" s="79">
        <f t="shared" si="4"/>
        <v>519.38082191780825</v>
      </c>
      <c r="T11" s="57">
        <v>57500</v>
      </c>
      <c r="U11" s="49">
        <f t="shared" si="5"/>
        <v>65600</v>
      </c>
    </row>
    <row r="12" spans="1:21" s="8" customFormat="1" ht="35.1" customHeight="1" thickBot="1" x14ac:dyDescent="0.3">
      <c r="A12" s="247"/>
      <c r="B12" s="85" t="s">
        <v>82</v>
      </c>
      <c r="C12" s="2" t="s">
        <v>105</v>
      </c>
      <c r="D12" s="15" t="s">
        <v>48</v>
      </c>
      <c r="E12" s="19">
        <v>110000</v>
      </c>
      <c r="F12" s="26">
        <v>2000</v>
      </c>
      <c r="G12" s="32">
        <v>364.53698630136984</v>
      </c>
      <c r="H12" s="16">
        <v>350</v>
      </c>
      <c r="I12" s="16"/>
      <c r="J12" s="16"/>
      <c r="K12" s="17">
        <v>0</v>
      </c>
      <c r="L12" s="36">
        <f t="shared" si="0"/>
        <v>0</v>
      </c>
      <c r="M12" s="15"/>
      <c r="N12" s="34">
        <f t="shared" si="6"/>
        <v>2714.5369863013698</v>
      </c>
      <c r="O12" s="54">
        <v>0.06</v>
      </c>
      <c r="P12" s="57">
        <f t="shared" si="1"/>
        <v>100800</v>
      </c>
      <c r="Q12" s="40">
        <f t="shared" si="2"/>
        <v>107285.46301369862</v>
      </c>
      <c r="R12" s="51">
        <f t="shared" si="3"/>
        <v>6485.4630136986234</v>
      </c>
      <c r="S12" s="79">
        <f t="shared" si="4"/>
        <v>425.2931506849315</v>
      </c>
      <c r="T12" s="57">
        <v>100000</v>
      </c>
      <c r="U12" s="49">
        <f t="shared" si="5"/>
        <v>800</v>
      </c>
    </row>
    <row r="13" spans="1:21" ht="35.1" customHeight="1" thickBot="1" x14ac:dyDescent="0.3">
      <c r="A13" s="247"/>
      <c r="B13" s="86" t="s">
        <v>83</v>
      </c>
      <c r="C13" s="3" t="s">
        <v>39</v>
      </c>
      <c r="D13" s="15" t="s">
        <v>48</v>
      </c>
      <c r="E13" s="19">
        <v>60000</v>
      </c>
      <c r="F13" s="26">
        <v>2000</v>
      </c>
      <c r="G13" s="30">
        <v>311.7972602739726</v>
      </c>
      <c r="H13" s="16">
        <v>350</v>
      </c>
      <c r="I13" s="9"/>
      <c r="J13" s="9"/>
      <c r="K13" s="10">
        <v>0</v>
      </c>
      <c r="L13" s="11">
        <f t="shared" si="0"/>
        <v>0</v>
      </c>
      <c r="M13" s="2"/>
      <c r="N13" s="34">
        <f t="shared" si="6"/>
        <v>2661.7972602739728</v>
      </c>
      <c r="O13" s="53">
        <v>0.06</v>
      </c>
      <c r="P13" s="57">
        <f t="shared" si="1"/>
        <v>53800</v>
      </c>
      <c r="Q13" s="39">
        <f t="shared" si="2"/>
        <v>57338.202739726024</v>
      </c>
      <c r="R13" s="51">
        <f t="shared" si="3"/>
        <v>3538.2027397260244</v>
      </c>
      <c r="S13" s="79">
        <f t="shared" si="4"/>
        <v>226.99178082191779</v>
      </c>
      <c r="T13" s="57">
        <v>72200</v>
      </c>
      <c r="U13" s="49">
        <f t="shared" si="5"/>
        <v>-18400</v>
      </c>
    </row>
    <row r="14" spans="1:21" ht="35.1" customHeight="1" thickBot="1" x14ac:dyDescent="0.3">
      <c r="A14" s="248"/>
      <c r="B14" s="86" t="s">
        <v>113</v>
      </c>
      <c r="C14" s="3" t="s">
        <v>114</v>
      </c>
      <c r="D14" s="15" t="s">
        <v>48</v>
      </c>
      <c r="E14" s="20">
        <v>45000</v>
      </c>
      <c r="F14" s="26">
        <v>2000</v>
      </c>
      <c r="G14" s="31">
        <v>197.03561643835616</v>
      </c>
      <c r="H14" s="16">
        <v>350</v>
      </c>
      <c r="I14" s="13"/>
      <c r="J14" s="13"/>
      <c r="K14" s="14">
        <v>0</v>
      </c>
      <c r="L14" s="12">
        <f t="shared" si="0"/>
        <v>0</v>
      </c>
      <c r="M14" s="3"/>
      <c r="N14" s="35">
        <f t="shared" si="6"/>
        <v>2547.0356164383561</v>
      </c>
      <c r="O14" s="55">
        <v>0.06</v>
      </c>
      <c r="P14" s="58">
        <f t="shared" si="1"/>
        <v>39900</v>
      </c>
      <c r="Q14" s="39">
        <f t="shared" si="2"/>
        <v>42452.964383561644</v>
      </c>
      <c r="R14" s="51">
        <f t="shared" si="3"/>
        <v>2552.9643835616444</v>
      </c>
      <c r="S14" s="79">
        <f t="shared" si="4"/>
        <v>168.34520547945206</v>
      </c>
      <c r="T14" s="57">
        <v>43500</v>
      </c>
      <c r="U14" s="49">
        <f t="shared" si="5"/>
        <v>-3600</v>
      </c>
    </row>
    <row r="15" spans="1:21" ht="60" customHeight="1" thickBot="1" x14ac:dyDescent="0.3">
      <c r="A15" s="251" t="s">
        <v>43</v>
      </c>
      <c r="B15" s="177" t="s">
        <v>84</v>
      </c>
      <c r="C15" s="21" t="s">
        <v>52</v>
      </c>
      <c r="D15" s="87" t="s">
        <v>48</v>
      </c>
      <c r="E15" s="22">
        <v>600000</v>
      </c>
      <c r="F15" s="26">
        <v>2000</v>
      </c>
      <c r="G15" s="88">
        <v>1747.5835616438355</v>
      </c>
      <c r="H15" s="89">
        <v>350</v>
      </c>
      <c r="I15" s="23"/>
      <c r="J15" s="23"/>
      <c r="K15" s="24">
        <v>0</v>
      </c>
      <c r="L15" s="25">
        <f t="shared" ref="L15:L17" si="7">E15*K15%</f>
        <v>0</v>
      </c>
      <c r="M15" s="21"/>
      <c r="N15" s="162">
        <f>L15+H15+G15+F15+J15+M15+I15</f>
        <v>4097.5835616438353</v>
      </c>
      <c r="O15" s="52">
        <v>0.05</v>
      </c>
      <c r="P15" s="56">
        <f t="shared" ref="P15:P17" si="8">FLOOR(Q15-(Q15*O15),100)</f>
        <v>566100</v>
      </c>
      <c r="Q15" s="39">
        <f t="shared" ref="Q15:Q17" si="9">E15-N15</f>
        <v>595902.41643835616</v>
      </c>
      <c r="R15" s="50">
        <f>E15-N15-P15</f>
        <v>29802.416438356158</v>
      </c>
      <c r="S15" s="79">
        <f t="shared" si="4"/>
        <v>2388.476712328767</v>
      </c>
      <c r="T15" s="56">
        <v>394800</v>
      </c>
      <c r="U15" s="49">
        <f>P15-T15</f>
        <v>171300</v>
      </c>
    </row>
    <row r="16" spans="1:21" ht="35.1" customHeight="1" thickBot="1" x14ac:dyDescent="0.3">
      <c r="A16" s="252"/>
      <c r="B16" s="178" t="s">
        <v>85</v>
      </c>
      <c r="C16" s="2" t="s">
        <v>53</v>
      </c>
      <c r="D16" s="15" t="s">
        <v>48</v>
      </c>
      <c r="E16" s="19">
        <v>580000</v>
      </c>
      <c r="F16" s="26">
        <v>2000</v>
      </c>
      <c r="G16" s="30">
        <v>1689.7808219178082</v>
      </c>
      <c r="H16" s="16">
        <v>350</v>
      </c>
      <c r="I16" s="9"/>
      <c r="J16" s="9"/>
      <c r="K16" s="10">
        <v>0</v>
      </c>
      <c r="L16" s="11">
        <f t="shared" si="7"/>
        <v>0</v>
      </c>
      <c r="M16" s="2"/>
      <c r="N16" s="163">
        <f>L16+H16+G16+F16+J16+M16+I16</f>
        <v>4039.7808219178082</v>
      </c>
      <c r="O16" s="55">
        <v>0.05</v>
      </c>
      <c r="P16" s="57">
        <f t="shared" si="8"/>
        <v>547100</v>
      </c>
      <c r="Q16" s="39">
        <f t="shared" si="9"/>
        <v>575960.21917808219</v>
      </c>
      <c r="R16" s="51">
        <f t="shared" ref="R16:R17" si="10">E16-N16-P16</f>
        <v>28860.219178082189</v>
      </c>
      <c r="S16" s="79">
        <f t="shared" si="4"/>
        <v>2308.3123287671233</v>
      </c>
      <c r="T16" s="57">
        <v>378900</v>
      </c>
      <c r="U16" s="49">
        <f t="shared" ref="U16:U17" si="11">P16-T16</f>
        <v>168200</v>
      </c>
    </row>
    <row r="17" spans="1:21" ht="35.1" customHeight="1" thickBot="1" x14ac:dyDescent="0.3">
      <c r="A17" s="253"/>
      <c r="B17" s="179" t="s">
        <v>86</v>
      </c>
      <c r="C17" s="3" t="s">
        <v>54</v>
      </c>
      <c r="D17" s="164" t="s">
        <v>48</v>
      </c>
      <c r="E17" s="20">
        <v>450000</v>
      </c>
      <c r="F17" s="26">
        <v>2000</v>
      </c>
      <c r="G17" s="31">
        <v>1137.9123287671232</v>
      </c>
      <c r="H17" s="165">
        <v>350</v>
      </c>
      <c r="I17" s="13"/>
      <c r="J17" s="13"/>
      <c r="K17" s="14">
        <v>0</v>
      </c>
      <c r="L17" s="12">
        <f t="shared" si="7"/>
        <v>0</v>
      </c>
      <c r="M17" s="3"/>
      <c r="N17" s="166">
        <f t="shared" ref="N17" si="12">L17+H17+G17+F17+J17+M17+I17</f>
        <v>3487.9123287671232</v>
      </c>
      <c r="O17" s="52">
        <v>0.05</v>
      </c>
      <c r="P17" s="58">
        <f t="shared" si="8"/>
        <v>424100</v>
      </c>
      <c r="Q17" s="39">
        <f t="shared" si="9"/>
        <v>446512.08767123288</v>
      </c>
      <c r="R17" s="51">
        <f t="shared" si="10"/>
        <v>22412.087671232875</v>
      </c>
      <c r="S17" s="79">
        <f t="shared" si="4"/>
        <v>1789.3534246575341</v>
      </c>
      <c r="T17" s="57">
        <v>320400</v>
      </c>
      <c r="U17" s="49">
        <f t="shared" si="11"/>
        <v>103700</v>
      </c>
    </row>
    <row r="18" spans="1:21" ht="35.1" customHeight="1" thickBot="1" x14ac:dyDescent="0.3">
      <c r="A18" s="246" t="s">
        <v>44</v>
      </c>
      <c r="B18" s="132" t="s">
        <v>87</v>
      </c>
      <c r="C18" s="133" t="s">
        <v>55</v>
      </c>
      <c r="D18" s="154" t="s">
        <v>48</v>
      </c>
      <c r="E18" s="155">
        <v>380000</v>
      </c>
      <c r="F18" s="26">
        <v>2000</v>
      </c>
      <c r="G18" s="157">
        <v>1138.3342465753424</v>
      </c>
      <c r="H18" s="153">
        <v>350</v>
      </c>
      <c r="I18" s="158"/>
      <c r="J18" s="158"/>
      <c r="K18" s="159">
        <v>0</v>
      </c>
      <c r="L18" s="160">
        <f t="shared" ref="L18:L19" si="13">E18*K18%</f>
        <v>0</v>
      </c>
      <c r="M18" s="133"/>
      <c r="N18" s="161">
        <f>L18+H18+G18+F18+J18+M18+I18</f>
        <v>3488.3342465753421</v>
      </c>
      <c r="O18" s="55">
        <v>0.05</v>
      </c>
      <c r="P18" s="56">
        <f t="shared" ref="P18:P19" si="14">FLOOR(Q18-(Q18*O18),100)</f>
        <v>357600</v>
      </c>
      <c r="Q18" s="39">
        <f t="shared" ref="Q18:Q19" si="15">E18-N18</f>
        <v>376511.66575342463</v>
      </c>
      <c r="R18" s="50">
        <f>E18-N18-P18</f>
        <v>18911.665753424633</v>
      </c>
      <c r="S18" s="79">
        <f t="shared" si="4"/>
        <v>1508.7780821917809</v>
      </c>
      <c r="T18" s="56">
        <v>279200</v>
      </c>
      <c r="U18" s="49">
        <f>P18-T18</f>
        <v>78400</v>
      </c>
    </row>
    <row r="19" spans="1:21" ht="35.1" hidden="1" customHeight="1" thickBot="1" x14ac:dyDescent="0.3">
      <c r="A19" s="247"/>
      <c r="B19" s="167" t="s">
        <v>34</v>
      </c>
      <c r="C19" s="168" t="s">
        <v>54</v>
      </c>
      <c r="D19" s="97" t="s">
        <v>48</v>
      </c>
      <c r="E19" s="169">
        <v>210000</v>
      </c>
      <c r="F19" s="26">
        <v>2000</v>
      </c>
      <c r="G19" s="170">
        <v>808.81643835616433</v>
      </c>
      <c r="H19" s="171">
        <v>350</v>
      </c>
      <c r="I19" s="172"/>
      <c r="J19" s="172"/>
      <c r="K19" s="173">
        <v>0</v>
      </c>
      <c r="L19" s="174">
        <f t="shared" si="13"/>
        <v>0</v>
      </c>
      <c r="M19" s="168"/>
      <c r="N19" s="175">
        <f t="shared" ref="N19" si="16">L19+H19+G19+F19+J19+M19+I19</f>
        <v>3158.8164383561643</v>
      </c>
      <c r="O19" s="52">
        <v>0.08</v>
      </c>
      <c r="P19" s="58">
        <f t="shared" si="14"/>
        <v>190200</v>
      </c>
      <c r="Q19" s="39">
        <f t="shared" si="15"/>
        <v>206841.18356164385</v>
      </c>
      <c r="R19" s="51">
        <f t="shared" ref="R19" si="17">E19-N19-P19</f>
        <v>16641.183561643847</v>
      </c>
      <c r="S19" s="79">
        <f t="shared" si="4"/>
        <v>802.48767123287666</v>
      </c>
      <c r="T19" s="57">
        <v>191500</v>
      </c>
      <c r="U19" s="49">
        <f t="shared" ref="U19" si="18">P19-T19</f>
        <v>-1300</v>
      </c>
    </row>
    <row r="20" spans="1:21" ht="35.1" customHeight="1" thickBot="1" x14ac:dyDescent="0.3">
      <c r="A20" s="246" t="s">
        <v>45</v>
      </c>
      <c r="B20" s="84" t="s">
        <v>88</v>
      </c>
      <c r="C20" s="21" t="s">
        <v>56</v>
      </c>
      <c r="D20" s="87" t="s">
        <v>48</v>
      </c>
      <c r="E20" s="22">
        <v>325000</v>
      </c>
      <c r="F20" s="26">
        <v>2000</v>
      </c>
      <c r="G20" s="88">
        <v>1010.9150684931507</v>
      </c>
      <c r="H20" s="89">
        <v>350</v>
      </c>
      <c r="I20" s="23"/>
      <c r="J20" s="23"/>
      <c r="K20" s="24">
        <v>0</v>
      </c>
      <c r="L20" s="25">
        <f t="shared" ref="L20:L24" si="19">E20*K20%</f>
        <v>0</v>
      </c>
      <c r="M20" s="21"/>
      <c r="N20" s="162">
        <f>L20+H20+G20+F20+J20+M20+I20</f>
        <v>3360.9150684931506</v>
      </c>
      <c r="O20" s="55">
        <v>0.05</v>
      </c>
      <c r="P20" s="56">
        <f t="shared" ref="P20:P24" si="20">FLOOR(Q20-(Q20*O20),100)</f>
        <v>305500</v>
      </c>
      <c r="Q20" s="39">
        <f t="shared" ref="Q20:Q24" si="21">E20-N20</f>
        <v>321639.08493150683</v>
      </c>
      <c r="R20" s="50">
        <f>E20-N20-P20</f>
        <v>16139.084931506834</v>
      </c>
      <c r="S20" s="79">
        <f t="shared" si="4"/>
        <v>1288.958904109589</v>
      </c>
      <c r="T20" s="56">
        <v>226900</v>
      </c>
      <c r="U20" s="49">
        <f>P20-T20</f>
        <v>78600</v>
      </c>
    </row>
    <row r="21" spans="1:21" ht="35.1" customHeight="1" thickBot="1" x14ac:dyDescent="0.3">
      <c r="A21" s="248"/>
      <c r="B21" s="86" t="s">
        <v>89</v>
      </c>
      <c r="C21" s="3" t="s">
        <v>54</v>
      </c>
      <c r="D21" s="164" t="s">
        <v>48</v>
      </c>
      <c r="E21" s="20">
        <v>280000</v>
      </c>
      <c r="F21" s="26">
        <v>2000</v>
      </c>
      <c r="G21" s="31">
        <v>908.38904109589043</v>
      </c>
      <c r="H21" s="176">
        <v>350</v>
      </c>
      <c r="I21" s="13"/>
      <c r="J21" s="13"/>
      <c r="K21" s="14">
        <v>0</v>
      </c>
      <c r="L21" s="12">
        <f t="shared" si="19"/>
        <v>0</v>
      </c>
      <c r="M21" s="3"/>
      <c r="N21" s="166">
        <f t="shared" ref="N21" si="22">L21+H21+G21+F21+J21+M21+I21</f>
        <v>3258.3890410958902</v>
      </c>
      <c r="O21" s="52">
        <v>0.05</v>
      </c>
      <c r="P21" s="58">
        <f t="shared" si="20"/>
        <v>262900</v>
      </c>
      <c r="Q21" s="39">
        <f t="shared" si="21"/>
        <v>276741.61095890409</v>
      </c>
      <c r="R21" s="51">
        <f t="shared" ref="R21" si="23">E21-N21-P21</f>
        <v>13841.610958904086</v>
      </c>
      <c r="S21" s="79">
        <f t="shared" si="4"/>
        <v>1109.2219178082191</v>
      </c>
      <c r="T21" s="57">
        <v>189300</v>
      </c>
      <c r="U21" s="49">
        <f t="shared" ref="U21" si="24">P21-T21</f>
        <v>73600</v>
      </c>
    </row>
    <row r="22" spans="1:21" ht="35.1" customHeight="1" thickBot="1" x14ac:dyDescent="0.3">
      <c r="A22" s="247" t="s">
        <v>46</v>
      </c>
      <c r="B22" s="132" t="s">
        <v>90</v>
      </c>
      <c r="C22" s="133" t="s">
        <v>57</v>
      </c>
      <c r="D22" s="154" t="s">
        <v>48</v>
      </c>
      <c r="E22" s="155">
        <v>220000</v>
      </c>
      <c r="F22" s="26">
        <v>2000</v>
      </c>
      <c r="G22" s="157">
        <v>806.70684931506855</v>
      </c>
      <c r="H22" s="180">
        <v>350</v>
      </c>
      <c r="I22" s="158"/>
      <c r="J22" s="158"/>
      <c r="K22" s="159">
        <v>0</v>
      </c>
      <c r="L22" s="160">
        <f t="shared" si="19"/>
        <v>0</v>
      </c>
      <c r="M22" s="133"/>
      <c r="N22" s="161">
        <f>L22+H22+G22+F22+J22+M22+I22</f>
        <v>3156.7068493150687</v>
      </c>
      <c r="O22" s="55">
        <v>0.05</v>
      </c>
      <c r="P22" s="56">
        <f t="shared" si="20"/>
        <v>206000</v>
      </c>
      <c r="Q22" s="39">
        <f t="shared" si="21"/>
        <v>216843.29315068494</v>
      </c>
      <c r="R22" s="50">
        <f>E22-N22-P22</f>
        <v>10843.293150684942</v>
      </c>
      <c r="S22" s="79">
        <f t="shared" si="4"/>
        <v>869.15068493150682</v>
      </c>
      <c r="T22" s="56">
        <v>168300</v>
      </c>
      <c r="U22" s="49">
        <f>P22-T22</f>
        <v>37700</v>
      </c>
    </row>
    <row r="23" spans="1:21" ht="35.1" customHeight="1" thickBot="1" x14ac:dyDescent="0.3">
      <c r="A23" s="247"/>
      <c r="B23" s="85" t="s">
        <v>91</v>
      </c>
      <c r="C23" s="2" t="s">
        <v>58</v>
      </c>
      <c r="D23" s="15" t="s">
        <v>48</v>
      </c>
      <c r="E23" s="19">
        <v>100000</v>
      </c>
      <c r="F23" s="26">
        <v>2000</v>
      </c>
      <c r="G23" s="30">
        <v>659.45753424657528</v>
      </c>
      <c r="H23" s="16">
        <v>350</v>
      </c>
      <c r="I23" s="9"/>
      <c r="J23" s="9"/>
      <c r="K23" s="10">
        <v>0</v>
      </c>
      <c r="L23" s="11">
        <f t="shared" si="19"/>
        <v>0</v>
      </c>
      <c r="M23" s="2"/>
      <c r="N23" s="34">
        <f t="shared" ref="N23:N24" si="25">L23+H23+G23+F23+J23+M23+I23</f>
        <v>3009.4575342465751</v>
      </c>
      <c r="O23" s="52">
        <v>0.05</v>
      </c>
      <c r="P23" s="57">
        <f t="shared" si="20"/>
        <v>92100</v>
      </c>
      <c r="Q23" s="39">
        <f t="shared" si="21"/>
        <v>96990.542465753431</v>
      </c>
      <c r="R23" s="51">
        <f t="shared" ref="R23:R24" si="26">E23-N23-P23</f>
        <v>4890.5424657534313</v>
      </c>
      <c r="S23" s="79">
        <f t="shared" si="4"/>
        <v>388.58630136986301</v>
      </c>
      <c r="T23" s="57">
        <v>145900</v>
      </c>
      <c r="U23" s="49">
        <f t="shared" ref="U23:U24" si="27">P23-T23</f>
        <v>-53800</v>
      </c>
    </row>
    <row r="24" spans="1:21" ht="35.1" hidden="1" customHeight="1" thickBot="1" x14ac:dyDescent="0.3">
      <c r="A24" s="248"/>
      <c r="B24" s="86" t="s">
        <v>34</v>
      </c>
      <c r="C24" s="3" t="s">
        <v>59</v>
      </c>
      <c r="D24" s="15" t="s">
        <v>48</v>
      </c>
      <c r="E24" s="20">
        <v>90000</v>
      </c>
      <c r="F24" s="26">
        <v>2000</v>
      </c>
      <c r="G24" s="31">
        <v>329.09589041095887</v>
      </c>
      <c r="H24" s="16">
        <v>350</v>
      </c>
      <c r="I24" s="13"/>
      <c r="J24" s="13"/>
      <c r="K24" s="14">
        <v>0</v>
      </c>
      <c r="L24" s="12">
        <f t="shared" si="19"/>
        <v>0</v>
      </c>
      <c r="M24" s="3"/>
      <c r="N24" s="35">
        <f t="shared" si="25"/>
        <v>2679.0958904109589</v>
      </c>
      <c r="O24" s="55">
        <v>0.08</v>
      </c>
      <c r="P24" s="58">
        <f t="shared" si="20"/>
        <v>80300</v>
      </c>
      <c r="Q24" s="39">
        <f t="shared" si="21"/>
        <v>87320.904109589042</v>
      </c>
      <c r="R24" s="51">
        <f t="shared" si="26"/>
        <v>7020.9041095890425</v>
      </c>
      <c r="S24" s="79">
        <f t="shared" si="4"/>
        <v>338.8</v>
      </c>
      <c r="T24" s="57">
        <v>78000</v>
      </c>
      <c r="U24" s="49">
        <f t="shared" si="27"/>
        <v>2300</v>
      </c>
    </row>
    <row r="25" spans="1:21" ht="35.1" customHeight="1" thickBot="1" x14ac:dyDescent="0.3">
      <c r="A25" s="246" t="s">
        <v>47</v>
      </c>
      <c r="B25" s="84" t="s">
        <v>92</v>
      </c>
      <c r="C25" s="21" t="s">
        <v>60</v>
      </c>
      <c r="D25" s="237" t="s">
        <v>48</v>
      </c>
      <c r="E25" s="238">
        <v>130000</v>
      </c>
      <c r="F25" s="26">
        <v>2000</v>
      </c>
      <c r="G25" s="181">
        <v>403.7753424657534</v>
      </c>
      <c r="H25" s="171">
        <v>350</v>
      </c>
      <c r="I25" s="182"/>
      <c r="J25" s="182"/>
      <c r="K25" s="183">
        <v>0</v>
      </c>
      <c r="L25" s="184">
        <f t="shared" ref="L25:L28" si="28">E25*K25%</f>
        <v>0</v>
      </c>
      <c r="M25" s="185"/>
      <c r="N25" s="186">
        <f>L25+H25+G25+F25+J25+M25+I25</f>
        <v>2753.7753424657535</v>
      </c>
      <c r="O25" s="52">
        <v>0.06</v>
      </c>
      <c r="P25" s="239">
        <f t="shared" ref="P25:P28" si="29">FLOOR(Q25-(Q25*O25),100)</f>
        <v>119600</v>
      </c>
      <c r="Q25" s="39">
        <f t="shared" ref="Q25:Q28" si="30">E25-N25</f>
        <v>127246.22465753424</v>
      </c>
      <c r="R25" s="50">
        <f>E25-N25-P25</f>
        <v>7646.2246575342433</v>
      </c>
      <c r="S25" s="79">
        <f t="shared" si="4"/>
        <v>504.61369863013704</v>
      </c>
      <c r="T25" s="56">
        <v>105700</v>
      </c>
      <c r="U25" s="49">
        <f>P25-T25</f>
        <v>13900</v>
      </c>
    </row>
    <row r="26" spans="1:21" ht="35.1" customHeight="1" thickBot="1" x14ac:dyDescent="0.3">
      <c r="A26" s="247"/>
      <c r="B26" s="132" t="s">
        <v>93</v>
      </c>
      <c r="C26" s="133" t="s">
        <v>109</v>
      </c>
      <c r="D26" s="15" t="s">
        <v>48</v>
      </c>
      <c r="E26" s="19">
        <v>104000</v>
      </c>
      <c r="F26" s="26">
        <v>2000</v>
      </c>
      <c r="G26" s="32">
        <v>368.33424657534249</v>
      </c>
      <c r="H26" s="16">
        <v>350</v>
      </c>
      <c r="I26" s="9"/>
      <c r="J26" s="9"/>
      <c r="K26" s="10">
        <v>0</v>
      </c>
      <c r="L26" s="11">
        <f t="shared" ref="L26" si="31">E26*K26%</f>
        <v>0</v>
      </c>
      <c r="M26" s="2"/>
      <c r="N26" s="163">
        <f>L26+H26+G26+F26+J26+M26+I26</f>
        <v>2718.3342465753426</v>
      </c>
      <c r="O26" s="55">
        <v>0.06</v>
      </c>
      <c r="P26" s="57">
        <f t="shared" ref="P26" si="32">FLOOR(Q26-(Q26*O26),100)</f>
        <v>95200</v>
      </c>
      <c r="Q26" s="39">
        <f t="shared" ref="Q26" si="33">E26-N26</f>
        <v>101281.66575342466</v>
      </c>
      <c r="R26" s="50">
        <f>E26-N26-P26</f>
        <v>6081.6657534246624</v>
      </c>
      <c r="S26" s="79">
        <f t="shared" si="4"/>
        <v>401.66575342465751</v>
      </c>
      <c r="T26" s="56">
        <v>105701</v>
      </c>
      <c r="U26" s="49">
        <f>P26-T26</f>
        <v>-10501</v>
      </c>
    </row>
    <row r="27" spans="1:21" ht="50.1" customHeight="1" thickBot="1" x14ac:dyDescent="0.3">
      <c r="A27" s="247"/>
      <c r="B27" s="85" t="s">
        <v>94</v>
      </c>
      <c r="C27" s="2" t="s">
        <v>69</v>
      </c>
      <c r="D27" s="15" t="s">
        <v>48</v>
      </c>
      <c r="E27" s="19">
        <v>45000</v>
      </c>
      <c r="F27" s="26">
        <v>2000</v>
      </c>
      <c r="G27" s="30">
        <v>208.42739726027398</v>
      </c>
      <c r="H27" s="16">
        <v>350</v>
      </c>
      <c r="I27" s="9"/>
      <c r="J27" s="9"/>
      <c r="K27" s="10">
        <v>0</v>
      </c>
      <c r="L27" s="11">
        <f t="shared" si="28"/>
        <v>0</v>
      </c>
      <c r="M27" s="2"/>
      <c r="N27" s="163">
        <f t="shared" ref="N27:N28" si="34">L27+H27+G27+F27+J27+M27+I27</f>
        <v>2558.4273972602741</v>
      </c>
      <c r="O27" s="52">
        <v>0.06</v>
      </c>
      <c r="P27" s="57">
        <f t="shared" si="29"/>
        <v>39800</v>
      </c>
      <c r="Q27" s="39">
        <f t="shared" si="30"/>
        <v>42441.572602739725</v>
      </c>
      <c r="R27" s="51">
        <f t="shared" ref="R27:R28" si="35">E27-N27-P27</f>
        <v>2641.572602739725</v>
      </c>
      <c r="S27" s="79">
        <f t="shared" si="4"/>
        <v>167.92328767123288</v>
      </c>
      <c r="T27" s="57">
        <v>57400</v>
      </c>
      <c r="U27" s="49">
        <f t="shared" ref="U27:U28" si="36">P27-T27</f>
        <v>-17600</v>
      </c>
    </row>
    <row r="28" spans="1:21" ht="50.1" customHeight="1" thickBot="1" x14ac:dyDescent="0.3">
      <c r="A28" s="248"/>
      <c r="B28" s="86" t="s">
        <v>95</v>
      </c>
      <c r="C28" s="3" t="s">
        <v>68</v>
      </c>
      <c r="D28" s="97" t="s">
        <v>48</v>
      </c>
      <c r="E28" s="20">
        <v>39000</v>
      </c>
      <c r="F28" s="26">
        <v>2000</v>
      </c>
      <c r="G28" s="31">
        <v>162.0164383561644</v>
      </c>
      <c r="H28" s="153">
        <v>350</v>
      </c>
      <c r="I28" s="13"/>
      <c r="J28" s="13"/>
      <c r="K28" s="14">
        <v>0</v>
      </c>
      <c r="L28" s="12">
        <f t="shared" si="28"/>
        <v>0</v>
      </c>
      <c r="M28" s="3"/>
      <c r="N28" s="166">
        <f t="shared" si="34"/>
        <v>2512.0164383561641</v>
      </c>
      <c r="O28" s="55">
        <v>0.06</v>
      </c>
      <c r="P28" s="58">
        <f t="shared" si="29"/>
        <v>34200</v>
      </c>
      <c r="Q28" s="39">
        <f t="shared" si="30"/>
        <v>36487.983561643836</v>
      </c>
      <c r="R28" s="51">
        <f t="shared" si="35"/>
        <v>2287.9835616438359</v>
      </c>
      <c r="S28" s="79">
        <f t="shared" si="4"/>
        <v>144.29589041095892</v>
      </c>
      <c r="T28" s="57">
        <v>51200</v>
      </c>
      <c r="U28" s="49">
        <f t="shared" si="36"/>
        <v>-17000</v>
      </c>
    </row>
    <row r="29" spans="1:21" ht="35.1" customHeight="1" thickBot="1" x14ac:dyDescent="0.3">
      <c r="A29" s="246" t="s">
        <v>49</v>
      </c>
      <c r="B29" s="84" t="s">
        <v>96</v>
      </c>
      <c r="C29" s="21" t="s">
        <v>61</v>
      </c>
      <c r="D29" s="87" t="s">
        <v>48</v>
      </c>
      <c r="E29" s="22">
        <v>110000</v>
      </c>
      <c r="F29" s="26">
        <v>2000</v>
      </c>
      <c r="G29" s="88">
        <v>337.11232876712324</v>
      </c>
      <c r="H29" s="171">
        <v>350</v>
      </c>
      <c r="I29" s="23"/>
      <c r="J29" s="23"/>
      <c r="K29" s="24">
        <v>0</v>
      </c>
      <c r="L29" s="25">
        <f t="shared" ref="L29:L32" si="37">E29*K29%</f>
        <v>0</v>
      </c>
      <c r="M29" s="21"/>
      <c r="N29" s="162">
        <f>L29+H29+G29+F29+J29+M29+I29</f>
        <v>2687.1123287671235</v>
      </c>
      <c r="O29" s="52">
        <v>0.06</v>
      </c>
      <c r="P29" s="56">
        <f t="shared" ref="P29:P32" si="38">FLOOR(Q29-(Q29*O29),100)</f>
        <v>100800</v>
      </c>
      <c r="Q29" s="39">
        <f t="shared" ref="Q29:Q32" si="39">E29-N29</f>
        <v>107312.88767123288</v>
      </c>
      <c r="R29" s="50">
        <f>E29-N29-P29</f>
        <v>6512.8876712328783</v>
      </c>
      <c r="S29" s="79">
        <f t="shared" si="4"/>
        <v>425.2931506849315</v>
      </c>
      <c r="T29" s="56">
        <v>100100</v>
      </c>
      <c r="U29" s="49">
        <f>P29-T29</f>
        <v>700</v>
      </c>
    </row>
    <row r="30" spans="1:21" ht="35.1" customHeight="1" thickBot="1" x14ac:dyDescent="0.3">
      <c r="A30" s="247"/>
      <c r="B30" s="85" t="s">
        <v>96</v>
      </c>
      <c r="C30" s="2" t="s">
        <v>62</v>
      </c>
      <c r="D30" s="15" t="s">
        <v>48</v>
      </c>
      <c r="E30" s="19">
        <v>8000</v>
      </c>
      <c r="F30" s="26">
        <v>2000</v>
      </c>
      <c r="G30" s="30">
        <v>50.630136986301366</v>
      </c>
      <c r="H30" s="16">
        <v>350</v>
      </c>
      <c r="I30" s="9"/>
      <c r="J30" s="9"/>
      <c r="K30" s="10">
        <v>0</v>
      </c>
      <c r="L30" s="11">
        <f t="shared" si="37"/>
        <v>0</v>
      </c>
      <c r="M30" s="2"/>
      <c r="N30" s="163">
        <f t="shared" ref="N30:N31" si="40">L30+H30+G30+F30+J30+M30+I30</f>
        <v>2400.6301369863013</v>
      </c>
      <c r="O30" s="55">
        <v>0.06</v>
      </c>
      <c r="P30" s="57">
        <f t="shared" si="38"/>
        <v>5200</v>
      </c>
      <c r="Q30" s="39">
        <f t="shared" si="39"/>
        <v>5599.3698630136987</v>
      </c>
      <c r="R30" s="51">
        <f t="shared" ref="R30:R32" si="41">E30-N30-P30</f>
        <v>399.3698630136987</v>
      </c>
      <c r="S30" s="79">
        <f t="shared" si="4"/>
        <v>21.93972602739726</v>
      </c>
      <c r="T30" s="57">
        <v>11800</v>
      </c>
      <c r="U30" s="49">
        <f t="shared" ref="U30:U31" si="42">P30-T30</f>
        <v>-6600</v>
      </c>
    </row>
    <row r="31" spans="1:21" ht="35.1" customHeight="1" thickBot="1" x14ac:dyDescent="0.3">
      <c r="A31" s="248"/>
      <c r="B31" s="86" t="s">
        <v>97</v>
      </c>
      <c r="C31" s="3" t="s">
        <v>63</v>
      </c>
      <c r="D31" s="97" t="s">
        <v>48</v>
      </c>
      <c r="E31" s="20">
        <v>400000</v>
      </c>
      <c r="F31" s="26">
        <v>2000</v>
      </c>
      <c r="G31" s="31">
        <v>1219.3424657534247</v>
      </c>
      <c r="H31" s="165">
        <v>350</v>
      </c>
      <c r="I31" s="13"/>
      <c r="J31" s="13"/>
      <c r="K31" s="14">
        <v>0</v>
      </c>
      <c r="L31" s="12">
        <f t="shared" si="37"/>
        <v>0</v>
      </c>
      <c r="M31" s="3"/>
      <c r="N31" s="166">
        <f t="shared" si="40"/>
        <v>3569.3424657534247</v>
      </c>
      <c r="O31" s="52">
        <v>0.06</v>
      </c>
      <c r="P31" s="58">
        <f t="shared" si="38"/>
        <v>372600</v>
      </c>
      <c r="Q31" s="39">
        <f t="shared" si="39"/>
        <v>396430.65753424657</v>
      </c>
      <c r="R31" s="51">
        <f t="shared" si="41"/>
        <v>23830.657534246566</v>
      </c>
      <c r="S31" s="79">
        <f t="shared" si="4"/>
        <v>1572.0657534246575</v>
      </c>
      <c r="T31" s="57">
        <v>301500</v>
      </c>
      <c r="U31" s="49">
        <f t="shared" si="42"/>
        <v>71100</v>
      </c>
    </row>
    <row r="32" spans="1:21" ht="39.950000000000003" customHeight="1" thickBot="1" x14ac:dyDescent="0.3">
      <c r="A32" s="249" t="s">
        <v>50</v>
      </c>
      <c r="B32" s="250"/>
      <c r="C32" s="3" t="s">
        <v>64</v>
      </c>
      <c r="D32" s="98" t="s">
        <v>48</v>
      </c>
      <c r="E32" s="20">
        <v>38000</v>
      </c>
      <c r="F32" s="26">
        <v>2000</v>
      </c>
      <c r="G32" s="195">
        <v>107.58904109589041</v>
      </c>
      <c r="H32" s="196">
        <v>350</v>
      </c>
      <c r="I32" s="197"/>
      <c r="J32" s="197">
        <v>750</v>
      </c>
      <c r="K32" s="198">
        <v>0</v>
      </c>
      <c r="L32" s="199">
        <f t="shared" si="37"/>
        <v>0</v>
      </c>
      <c r="M32" s="200"/>
      <c r="N32" s="201">
        <f>L32+H32+G32+F32+J32+M32+I32</f>
        <v>3207.5890410958905</v>
      </c>
      <c r="O32" s="55">
        <v>0.06</v>
      </c>
      <c r="P32" s="58">
        <f t="shared" si="38"/>
        <v>32700</v>
      </c>
      <c r="Q32" s="39">
        <f t="shared" si="39"/>
        <v>34792.410958904111</v>
      </c>
      <c r="R32" s="51">
        <f t="shared" si="41"/>
        <v>2092.4109589041109</v>
      </c>
      <c r="S32" s="79">
        <f t="shared" si="4"/>
        <v>137.96712328767123</v>
      </c>
      <c r="T32" s="57">
        <v>21500</v>
      </c>
    </row>
    <row r="33" spans="1:28" ht="39.950000000000003" hidden="1" customHeight="1" thickBot="1" x14ac:dyDescent="0.3">
      <c r="A33" s="249" t="s">
        <v>51</v>
      </c>
      <c r="B33" s="250"/>
      <c r="C33" s="3" t="s">
        <v>65</v>
      </c>
      <c r="D33" s="98" t="s">
        <v>48</v>
      </c>
      <c r="E33" s="20">
        <v>25000</v>
      </c>
      <c r="F33" s="187">
        <v>400</v>
      </c>
      <c r="G33" s="188">
        <v>107.20547945205479</v>
      </c>
      <c r="H33" s="189">
        <v>114</v>
      </c>
      <c r="I33" s="189">
        <v>120</v>
      </c>
      <c r="J33" s="189"/>
      <c r="K33" s="190">
        <v>0</v>
      </c>
      <c r="L33" s="191">
        <f t="shared" si="0"/>
        <v>0</v>
      </c>
      <c r="M33" s="192"/>
      <c r="N33" s="193">
        <f>L33+H33+G33+F33+J33+M33+I33</f>
        <v>741.20547945205476</v>
      </c>
      <c r="O33" s="55">
        <v>0.1</v>
      </c>
      <c r="P33" s="58">
        <f t="shared" si="1"/>
        <v>21800</v>
      </c>
      <c r="Q33" s="39">
        <f t="shared" si="2"/>
        <v>24258.794520547945</v>
      </c>
      <c r="R33" s="51">
        <f t="shared" si="3"/>
        <v>2458.7945205479446</v>
      </c>
      <c r="S33" s="79">
        <f t="shared" ref="S33" si="43">P33*13%/365*14</f>
        <v>108.7013698630137</v>
      </c>
      <c r="T33" s="57">
        <v>13600</v>
      </c>
    </row>
    <row r="34" spans="1:2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R34" s="42"/>
    </row>
    <row r="35" spans="1:28" s="242" customFormat="1" ht="99.95" customHeight="1" x14ac:dyDescent="0.35">
      <c r="A35" s="245" t="s">
        <v>110</v>
      </c>
      <c r="B35" s="245"/>
      <c r="C35" s="245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1:28" s="242" customFormat="1" ht="99.95" customHeight="1" x14ac:dyDescent="0.35">
      <c r="A36" s="245" t="s">
        <v>111</v>
      </c>
      <c r="B36" s="245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49" spans="5:12" x14ac:dyDescent="0.25">
      <c r="J49">
        <v>90</v>
      </c>
      <c r="K49">
        <v>17000</v>
      </c>
      <c r="L49">
        <f>K49*J49</f>
        <v>1530000</v>
      </c>
    </row>
    <row r="50" spans="5:12" x14ac:dyDescent="0.25">
      <c r="E50">
        <v>17000</v>
      </c>
      <c r="F50">
        <f>E50*90%</f>
        <v>15300</v>
      </c>
      <c r="J50">
        <v>10</v>
      </c>
      <c r="K50">
        <v>15100</v>
      </c>
      <c r="L50">
        <f>K50*J50</f>
        <v>151000</v>
      </c>
    </row>
    <row r="51" spans="5:12" x14ac:dyDescent="0.25">
      <c r="E51">
        <v>15100</v>
      </c>
      <c r="F51">
        <f>E51*10%</f>
        <v>1510</v>
      </c>
      <c r="L51">
        <f>SUM(L49:L50)</f>
        <v>1681000</v>
      </c>
    </row>
    <row r="52" spans="5:12" x14ac:dyDescent="0.25">
      <c r="F52">
        <f>SUM(F50:F51)</f>
        <v>16810</v>
      </c>
      <c r="L52">
        <f>L51/100</f>
        <v>16810</v>
      </c>
    </row>
    <row r="53" spans="5:12" x14ac:dyDescent="0.25">
      <c r="E53">
        <v>12000</v>
      </c>
      <c r="F53">
        <f>E53*90%</f>
        <v>10800</v>
      </c>
    </row>
    <row r="54" spans="5:12" x14ac:dyDescent="0.25">
      <c r="E54">
        <v>10300</v>
      </c>
      <c r="F54">
        <f>E54*10%</f>
        <v>1030</v>
      </c>
    </row>
  </sheetData>
  <mergeCells count="21">
    <mergeCell ref="P3:R3"/>
    <mergeCell ref="P5:R5"/>
    <mergeCell ref="R7:R8"/>
    <mergeCell ref="A1:O1"/>
    <mergeCell ref="C7:C8"/>
    <mergeCell ref="D7:D8"/>
    <mergeCell ref="E7:E8"/>
    <mergeCell ref="F7:N7"/>
    <mergeCell ref="O7:O8"/>
    <mergeCell ref="A5:N5"/>
    <mergeCell ref="P7:P8"/>
    <mergeCell ref="A7:B8"/>
    <mergeCell ref="A25:A28"/>
    <mergeCell ref="A29:A31"/>
    <mergeCell ref="A32:B32"/>
    <mergeCell ref="A33:B33"/>
    <mergeCell ref="A9:A14"/>
    <mergeCell ref="A15:A17"/>
    <mergeCell ref="A18:A19"/>
    <mergeCell ref="A20:A21"/>
    <mergeCell ref="A22:A24"/>
  </mergeCells>
  <pageMargins left="0.39370078740157483" right="0.39370078740157483" top="0.39370078740157483" bottom="0.39370078740157483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EA24-B85D-44C8-A984-A7FAE153FA16}">
  <sheetPr>
    <tabColor rgb="FF00B0F0"/>
    <pageSetUpPr fitToPage="1"/>
  </sheetPr>
  <dimension ref="A2:J45"/>
  <sheetViews>
    <sheetView view="pageBreakPreview" zoomScale="60" zoomScaleNormal="55" workbookViewId="0">
      <selection activeCell="D10" sqref="D10:E10"/>
    </sheetView>
  </sheetViews>
  <sheetFormatPr defaultRowHeight="15.75" x14ac:dyDescent="0.25"/>
  <cols>
    <col min="1" max="1" width="39.75" style="61" customWidth="1"/>
    <col min="2" max="2" width="20.625" style="61" customWidth="1"/>
    <col min="3" max="3" width="100.625" style="61" customWidth="1"/>
    <col min="4" max="5" width="30.625" style="61" customWidth="1"/>
  </cols>
  <sheetData>
    <row r="2" spans="1:10" ht="30" customHeight="1" x14ac:dyDescent="0.25">
      <c r="D2" s="274" t="s">
        <v>17</v>
      </c>
      <c r="E2" s="274"/>
    </row>
    <row r="3" spans="1:10" ht="30" customHeight="1" x14ac:dyDescent="0.25">
      <c r="D3" s="274" t="s">
        <v>101</v>
      </c>
      <c r="E3" s="274"/>
    </row>
    <row r="4" spans="1:10" ht="30" customHeight="1" x14ac:dyDescent="0.45">
      <c r="D4" s="62"/>
      <c r="E4" s="62"/>
    </row>
    <row r="5" spans="1:10" ht="30" customHeight="1" x14ac:dyDescent="0.25">
      <c r="D5" s="274" t="s">
        <v>107</v>
      </c>
      <c r="E5" s="274"/>
    </row>
    <row r="6" spans="1:10" ht="26.25" x14ac:dyDescent="0.4">
      <c r="D6" s="63"/>
      <c r="E6" s="63"/>
    </row>
    <row r="7" spans="1:10" s="64" customFormat="1" ht="39.950000000000003" customHeight="1" x14ac:dyDescent="0.55000000000000004">
      <c r="A7" s="275" t="s">
        <v>42</v>
      </c>
      <c r="B7" s="275"/>
      <c r="C7" s="275"/>
      <c r="D7" s="275"/>
      <c r="E7" s="275"/>
    </row>
    <row r="8" spans="1:10" s="64" customFormat="1" ht="39.950000000000003" customHeight="1" x14ac:dyDescent="0.55000000000000004">
      <c r="A8" s="275" t="s">
        <v>18</v>
      </c>
      <c r="B8" s="275"/>
      <c r="C8" s="275"/>
      <c r="D8" s="275"/>
      <c r="E8" s="275"/>
    </row>
    <row r="9" spans="1:10" s="1" customFormat="1" ht="39.950000000000003" customHeight="1" thickBot="1" x14ac:dyDescent="0.3">
      <c r="A9" s="65"/>
      <c r="B9" s="65"/>
      <c r="C9" s="65"/>
      <c r="D9" s="65"/>
      <c r="E9" s="77" t="s">
        <v>115</v>
      </c>
    </row>
    <row r="10" spans="1:10" ht="110.1" customHeight="1" thickTop="1" thickBot="1" x14ac:dyDescent="0.3">
      <c r="A10" s="276" t="s">
        <v>40</v>
      </c>
      <c r="B10" s="282" t="s">
        <v>41</v>
      </c>
      <c r="C10" s="278" t="s">
        <v>19</v>
      </c>
      <c r="D10" s="280" t="s">
        <v>30</v>
      </c>
      <c r="E10" s="281"/>
    </row>
    <row r="11" spans="1:10" ht="69.95" customHeight="1" thickBot="1" x14ac:dyDescent="0.3">
      <c r="A11" s="277"/>
      <c r="B11" s="283"/>
      <c r="C11" s="279"/>
      <c r="D11" s="107" t="s">
        <v>20</v>
      </c>
      <c r="E11" s="106" t="s">
        <v>21</v>
      </c>
    </row>
    <row r="12" spans="1:10" ht="54.95" customHeight="1" thickBot="1" x14ac:dyDescent="0.3">
      <c r="A12" s="284" t="s">
        <v>31</v>
      </c>
      <c r="B12" s="91" t="s">
        <v>79</v>
      </c>
      <c r="C12" s="92" t="str">
        <f>'Расчет Уфа'!C9</f>
        <v>Проводники тока разделанные механическим способом</v>
      </c>
      <c r="D12" s="70">
        <f>'Расчет Уфа'!P9-300</f>
        <v>138000</v>
      </c>
      <c r="E12" s="78">
        <f>FLOOR(D12-4%*D12,1000)</f>
        <v>132000</v>
      </c>
      <c r="G12" s="49">
        <f>D12-E12</f>
        <v>6000</v>
      </c>
    </row>
    <row r="13" spans="1:10" ht="54.95" customHeight="1" thickBot="1" x14ac:dyDescent="0.3">
      <c r="A13" s="285"/>
      <c r="B13" s="90" t="s">
        <v>80</v>
      </c>
      <c r="C13" s="66" t="str">
        <f>'Расчет Уфа'!C10</f>
        <v>Пищевая емкость, провод в бумажной х/б и ПВХ изоляции</v>
      </c>
      <c r="D13" s="67">
        <f>'Расчет Уфа'!P10</f>
        <v>129000</v>
      </c>
      <c r="E13" s="78">
        <f t="shared" ref="E13:E36" si="0">FLOOR(D13-4%*D13,1000)</f>
        <v>123000</v>
      </c>
      <c r="G13" s="49">
        <f t="shared" ref="G13:G36" si="1">D13-E13</f>
        <v>6000</v>
      </c>
    </row>
    <row r="14" spans="1:10" ht="50.1" customHeight="1" thickBot="1" x14ac:dyDescent="0.3">
      <c r="A14" s="285"/>
      <c r="B14" s="90" t="s">
        <v>81</v>
      </c>
      <c r="C14" s="66" t="str">
        <f>'Расчет Уфа'!C11</f>
        <v>Дверные, оконные профили без стальных примесей.</v>
      </c>
      <c r="D14" s="67">
        <f>'Расчет Уфа'!P11-100</f>
        <v>123000</v>
      </c>
      <c r="E14" s="78">
        <f t="shared" si="0"/>
        <v>118000</v>
      </c>
      <c r="G14" s="49">
        <f t="shared" si="1"/>
        <v>5000</v>
      </c>
    </row>
    <row r="15" spans="1:10" ht="69.95" customHeight="1" thickBot="1" x14ac:dyDescent="0.3">
      <c r="A15" s="285"/>
      <c r="B15" s="90" t="s">
        <v>82</v>
      </c>
      <c r="C15" s="66" t="str">
        <f>'Расчет Уфа'!C12</f>
        <v>Сплавы деформируемые, листы, обрезь, моторный алюминий.</v>
      </c>
      <c r="D15" s="67">
        <f>'Расчет Уфа'!P12+200</f>
        <v>101000</v>
      </c>
      <c r="E15" s="78">
        <f t="shared" si="0"/>
        <v>96000</v>
      </c>
      <c r="G15" s="49">
        <f t="shared" si="1"/>
        <v>5000</v>
      </c>
    </row>
    <row r="16" spans="1:10" ht="54.95" customHeight="1" thickBot="1" x14ac:dyDescent="0.3">
      <c r="A16" s="285"/>
      <c r="B16" s="93" t="s">
        <v>83</v>
      </c>
      <c r="C16" s="94" t="str">
        <f>'Расчет Уфа'!C13</f>
        <v>Стружка разносортная</v>
      </c>
      <c r="D16" s="67">
        <f>'Расчет Уфа'!P13+200</f>
        <v>54000</v>
      </c>
      <c r="E16" s="78">
        <f t="shared" si="0"/>
        <v>51000</v>
      </c>
      <c r="G16" s="49">
        <f t="shared" si="1"/>
        <v>3000</v>
      </c>
      <c r="J16" s="69"/>
    </row>
    <row r="17" spans="1:10" ht="54.95" customHeight="1" thickBot="1" x14ac:dyDescent="0.3">
      <c r="A17" s="286"/>
      <c r="B17" s="93" t="str">
        <f>'Расчет Уфа'!B14</f>
        <v>А31</v>
      </c>
      <c r="C17" s="94" t="str">
        <f>'Расчет Уфа'!C14</f>
        <v>Лом и отходы алюминиевых радиаторов (засор не менее 45%)</v>
      </c>
      <c r="D17" s="95">
        <f>'Расчет Уфа'!P14+100</f>
        <v>40000</v>
      </c>
      <c r="E17" s="78">
        <f t="shared" si="0"/>
        <v>38000</v>
      </c>
      <c r="G17" s="49">
        <f t="shared" si="1"/>
        <v>2000</v>
      </c>
    </row>
    <row r="18" spans="1:10" ht="120" customHeight="1" thickBot="1" x14ac:dyDescent="0.3">
      <c r="A18" s="284" t="s">
        <v>43</v>
      </c>
      <c r="B18" s="99" t="s">
        <v>84</v>
      </c>
      <c r="C18" s="92" t="str">
        <f>'Расчет Уфа'!C15</f>
        <v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v>
      </c>
      <c r="D18" s="70">
        <f>'Расчет Уфа'!P15-100</f>
        <v>566000</v>
      </c>
      <c r="E18" s="78">
        <f t="shared" si="0"/>
        <v>543000</v>
      </c>
      <c r="G18" s="49">
        <f>D18-E18</f>
        <v>23000</v>
      </c>
    </row>
    <row r="19" spans="1:10" ht="69.95" customHeight="1" thickBot="1" x14ac:dyDescent="0.3">
      <c r="A19" s="285"/>
      <c r="B19" s="101" t="s">
        <v>85</v>
      </c>
      <c r="C19" s="66" t="str">
        <f>'Расчет Уфа'!C16</f>
        <v>Проводники тока и отходы проката в лаке, с пайкой, после обжига</v>
      </c>
      <c r="D19" s="67">
        <f>'Расчет Уфа'!P16-100</f>
        <v>547000</v>
      </c>
      <c r="E19" s="78">
        <f>FLOOR(D19-4%*D19,1000)</f>
        <v>525000</v>
      </c>
      <c r="G19" s="49">
        <f t="shared" ref="G19:G20" si="2">D19-E19</f>
        <v>22000</v>
      </c>
    </row>
    <row r="20" spans="1:10" ht="50.1" customHeight="1" thickBot="1" x14ac:dyDescent="0.3">
      <c r="A20" s="286"/>
      <c r="B20" s="100" t="s">
        <v>86</v>
      </c>
      <c r="C20" s="94" t="str">
        <f>'Расчет Уфа'!C17</f>
        <v>Стружка</v>
      </c>
      <c r="D20" s="95">
        <f>'Расчет Уфа'!P17+400</f>
        <v>424500</v>
      </c>
      <c r="E20" s="78">
        <f t="shared" si="0"/>
        <v>407000</v>
      </c>
      <c r="G20" s="49">
        <f t="shared" si="2"/>
        <v>17500</v>
      </c>
      <c r="J20" s="69"/>
    </row>
    <row r="21" spans="1:10" ht="50.1" customHeight="1" thickBot="1" x14ac:dyDescent="0.3">
      <c r="A21" s="284" t="s">
        <v>44</v>
      </c>
      <c r="B21" s="99" t="s">
        <v>87</v>
      </c>
      <c r="C21" s="92" t="str">
        <f>'Расчет Уфа'!C18</f>
        <v>Кусковой лом</v>
      </c>
      <c r="D21" s="70">
        <f>'Расчет Уфа'!P18-600</f>
        <v>357000</v>
      </c>
      <c r="E21" s="78">
        <f t="shared" si="0"/>
        <v>342000</v>
      </c>
      <c r="G21" s="49"/>
    </row>
    <row r="22" spans="1:10" ht="50.1" hidden="1" customHeight="1" thickBot="1" x14ac:dyDescent="0.3">
      <c r="A22" s="286"/>
      <c r="B22" s="102" t="str">
        <f>'Расчет Уфа'!B19</f>
        <v>Б</v>
      </c>
      <c r="C22" s="94" t="str">
        <f>'Расчет Уфа'!C19</f>
        <v>Стружка</v>
      </c>
      <c r="D22" s="95">
        <f>'Расчет Уфа'!P19</f>
        <v>190200</v>
      </c>
      <c r="E22" s="78">
        <f t="shared" si="0"/>
        <v>182000</v>
      </c>
      <c r="G22" s="49"/>
    </row>
    <row r="23" spans="1:10" ht="69.95" customHeight="1" thickBot="1" x14ac:dyDescent="0.3">
      <c r="A23" s="284" t="s">
        <v>45</v>
      </c>
      <c r="B23" s="99" t="s">
        <v>88</v>
      </c>
      <c r="C23" s="92" t="str">
        <f>'Расчет Уфа'!C20</f>
        <v>Кусковой лом, сантехника, трубки, чайники, самовары, сепараторы</v>
      </c>
      <c r="D23" s="70">
        <f>'Расчет Уфа'!P20</f>
        <v>305500</v>
      </c>
      <c r="E23" s="78">
        <f t="shared" si="0"/>
        <v>293000</v>
      </c>
      <c r="G23" s="49">
        <f>D23-E23</f>
        <v>12500</v>
      </c>
    </row>
    <row r="24" spans="1:10" ht="54.95" customHeight="1" thickBot="1" x14ac:dyDescent="0.3">
      <c r="A24" s="286"/>
      <c r="B24" s="102" t="s">
        <v>89</v>
      </c>
      <c r="C24" s="94" t="str">
        <f>'Расчет Уфа'!C21</f>
        <v>Стружка</v>
      </c>
      <c r="D24" s="95">
        <f>'Расчет Уфа'!P21+600</f>
        <v>263500</v>
      </c>
      <c r="E24" s="78">
        <f t="shared" si="0"/>
        <v>252000</v>
      </c>
      <c r="G24" s="49">
        <f t="shared" ref="G24" si="3">D24-E24</f>
        <v>11500</v>
      </c>
    </row>
    <row r="25" spans="1:10" ht="54.95" customHeight="1" thickBot="1" x14ac:dyDescent="0.3">
      <c r="A25" s="284" t="s">
        <v>46</v>
      </c>
      <c r="B25" s="99" t="s">
        <v>90</v>
      </c>
      <c r="C25" s="92" t="str">
        <f>'Расчет Уфа'!C22</f>
        <v>Кусковой лом (чистый) ВТ 1-00</v>
      </c>
      <c r="D25" s="70">
        <f>'Расчет Уфа'!P22</f>
        <v>206000</v>
      </c>
      <c r="E25" s="78">
        <f t="shared" si="0"/>
        <v>197000</v>
      </c>
      <c r="G25" s="49"/>
    </row>
    <row r="26" spans="1:10" ht="54.95" customHeight="1" thickBot="1" x14ac:dyDescent="0.3">
      <c r="A26" s="285"/>
      <c r="B26" s="101" t="s">
        <v>91</v>
      </c>
      <c r="C26" s="66" t="str">
        <f>'Расчет Уфа'!C23</f>
        <v>Кусковой лом ВТ-5, ВТ-20 (микс)</v>
      </c>
      <c r="D26" s="67">
        <f>'Расчет Уфа'!P23+400</f>
        <v>92500</v>
      </c>
      <c r="E26" s="78">
        <f t="shared" si="0"/>
        <v>88000</v>
      </c>
      <c r="G26" s="49"/>
    </row>
    <row r="27" spans="1:10" ht="50.1" hidden="1" customHeight="1" thickBot="1" x14ac:dyDescent="0.3">
      <c r="A27" s="286"/>
      <c r="B27" s="100" t="str">
        <f>'Расчет Уфа'!B24</f>
        <v>Б</v>
      </c>
      <c r="C27" s="94" t="str">
        <f>'Расчет Уфа'!C24</f>
        <v>Стружка смешанная</v>
      </c>
      <c r="D27" s="95">
        <f>'Расчет Уфа'!P24</f>
        <v>80300</v>
      </c>
      <c r="E27" s="78">
        <f t="shared" si="0"/>
        <v>77000</v>
      </c>
      <c r="G27" s="49"/>
    </row>
    <row r="28" spans="1:10" ht="54.95" customHeight="1" thickBot="1" x14ac:dyDescent="0.3">
      <c r="A28" s="284" t="s">
        <v>47</v>
      </c>
      <c r="B28" s="99" t="s">
        <v>92</v>
      </c>
      <c r="C28" s="92" t="str">
        <f>'Расчет Уфа'!C25</f>
        <v>Рольный (мягкий), кабельная оболочка, листы свинцовые</v>
      </c>
      <c r="D28" s="206">
        <f>'Расчет Уфа'!P25+200</f>
        <v>119800</v>
      </c>
      <c r="E28" s="78">
        <f t="shared" si="0"/>
        <v>115000</v>
      </c>
      <c r="G28" s="49"/>
    </row>
    <row r="29" spans="1:10" ht="54.95" customHeight="1" thickBot="1" x14ac:dyDescent="0.3">
      <c r="A29" s="285"/>
      <c r="B29" s="101" t="s">
        <v>93</v>
      </c>
      <c r="C29" s="66" t="str">
        <f>'Расчет Уфа'!C26</f>
        <v>Переплав свинца</v>
      </c>
      <c r="D29" s="67">
        <f>'Расчет Уфа'!P26-200</f>
        <v>95000</v>
      </c>
      <c r="E29" s="78">
        <f t="shared" si="0"/>
        <v>91000</v>
      </c>
      <c r="G29" s="49"/>
    </row>
    <row r="30" spans="1:10" ht="69.95" customHeight="1" thickBot="1" x14ac:dyDescent="0.3">
      <c r="A30" s="285"/>
      <c r="B30" s="101" t="s">
        <v>94</v>
      </c>
      <c r="C30" s="66" t="str">
        <f>'Расчет Уфа'!C27</f>
        <v>Аккумуляторы, корпус из полипропилена (с электролитом -10% засор, без электролита — 5%)</v>
      </c>
      <c r="D30" s="67">
        <f>'Расчет Уфа'!P27+200</f>
        <v>40000</v>
      </c>
      <c r="E30" s="78">
        <f t="shared" si="0"/>
        <v>38000</v>
      </c>
      <c r="G30" s="49"/>
    </row>
    <row r="31" spans="1:10" ht="69.95" customHeight="1" thickBot="1" x14ac:dyDescent="0.3">
      <c r="A31" s="286"/>
      <c r="B31" s="100" t="s">
        <v>95</v>
      </c>
      <c r="C31" s="94" t="str">
        <f>'Расчет Уфа'!C28</f>
        <v>Аккумуляторы, корпус из эбонита или карболита  (с электролитом -10% засор, без электролита — 5%)</v>
      </c>
      <c r="D31" s="95">
        <f>'Расчет Уфа'!P28-200</f>
        <v>34000</v>
      </c>
      <c r="E31" s="78">
        <f t="shared" si="0"/>
        <v>32000</v>
      </c>
      <c r="G31" s="49"/>
    </row>
    <row r="32" spans="1:10" ht="69.95" customHeight="1" thickBot="1" x14ac:dyDescent="0.3">
      <c r="A32" s="284" t="s">
        <v>49</v>
      </c>
      <c r="B32" s="99" t="s">
        <v>96</v>
      </c>
      <c r="C32" s="92" t="str">
        <f>'Расчет Уфа'!C29</f>
        <v>Силовой кабель с алюминиевой жилой (по % выхода алюминия)</v>
      </c>
      <c r="D32" s="70">
        <f>'Расчет Уфа'!P29-300</f>
        <v>100500</v>
      </c>
      <c r="E32" s="78">
        <f t="shared" si="0"/>
        <v>96000</v>
      </c>
      <c r="G32" s="49"/>
    </row>
    <row r="33" spans="1:7" ht="69.95" customHeight="1" thickBot="1" x14ac:dyDescent="0.3">
      <c r="A33" s="285"/>
      <c r="B33" s="101" t="s">
        <v>96</v>
      </c>
      <c r="C33" s="66" t="str">
        <f>'Расчет Уфа'!C30</f>
        <v>Контрольный кабель с алюминиевый жилой, содержание алюминия до 20%</v>
      </c>
      <c r="D33" s="67">
        <f>'Расчет Уфа'!P30-200</f>
        <v>5000</v>
      </c>
      <c r="E33" s="78">
        <f t="shared" si="0"/>
        <v>4000</v>
      </c>
      <c r="G33" s="49"/>
    </row>
    <row r="34" spans="1:7" ht="69.95" customHeight="1" thickBot="1" x14ac:dyDescent="0.3">
      <c r="A34" s="285"/>
      <c r="B34" s="100" t="s">
        <v>97</v>
      </c>
      <c r="C34" s="94" t="str">
        <f>'Расчет Уфа'!C31</f>
        <v>Силовой и контрольный кабель с медной жилой (по % выхода меди)</v>
      </c>
      <c r="D34" s="95">
        <f>'Расчет Уфа'!P31-600</f>
        <v>372000</v>
      </c>
      <c r="E34" s="78">
        <f t="shared" si="0"/>
        <v>357000</v>
      </c>
      <c r="G34" s="49"/>
    </row>
    <row r="35" spans="1:7" ht="54.95" customHeight="1" thickBot="1" x14ac:dyDescent="0.3">
      <c r="A35" s="136" t="str">
        <f>'Расчет Уфа'!A32:B32</f>
        <v>Электродвигатели</v>
      </c>
      <c r="B35" s="100" t="s">
        <v>98</v>
      </c>
      <c r="C35" s="104" t="str">
        <f>'Расчет Уфа'!C32</f>
        <v xml:space="preserve">Электродвигатели масса от 50 кг, </v>
      </c>
      <c r="D35" s="109">
        <f>'Расчет Уфа'!P32+300</f>
        <v>33000</v>
      </c>
      <c r="E35" s="78">
        <f t="shared" si="0"/>
        <v>31000</v>
      </c>
      <c r="G35" s="49">
        <f t="shared" si="1"/>
        <v>2000</v>
      </c>
    </row>
    <row r="36" spans="1:7" ht="54.95" hidden="1" customHeight="1" thickBot="1" x14ac:dyDescent="0.3">
      <c r="A36" s="287" t="str">
        <f>'Расчет Уфа'!A33:B33</f>
        <v>ТНЖ</v>
      </c>
      <c r="B36" s="288"/>
      <c r="C36" s="110" t="str">
        <f>'Расчет Уфа'!C33</f>
        <v>Железо-никелевые аккумуляторы, масса от 10 кг</v>
      </c>
      <c r="D36" s="111">
        <f>'Расчет Уфа'!P33</f>
        <v>21800</v>
      </c>
      <c r="E36" s="78">
        <f t="shared" si="0"/>
        <v>20000</v>
      </c>
      <c r="G36" s="49">
        <f t="shared" si="1"/>
        <v>1800</v>
      </c>
    </row>
    <row r="37" spans="1:7" ht="39.950000000000003" customHeight="1" x14ac:dyDescent="0.25">
      <c r="A37" s="71"/>
      <c r="B37" s="71"/>
      <c r="C37" s="72"/>
      <c r="D37" s="71"/>
      <c r="E37" s="71"/>
    </row>
    <row r="38" spans="1:7" s="73" customFormat="1" ht="33" customHeight="1" x14ac:dyDescent="0.25">
      <c r="A38" s="274" t="s">
        <v>112</v>
      </c>
      <c r="B38" s="274"/>
      <c r="C38" s="274"/>
      <c r="D38" s="274"/>
      <c r="E38" s="274"/>
    </row>
    <row r="39" spans="1:7" s="73" customFormat="1" ht="33" customHeight="1" x14ac:dyDescent="0.25">
      <c r="A39" s="274" t="s">
        <v>22</v>
      </c>
      <c r="B39" s="274"/>
      <c r="C39" s="274"/>
      <c r="D39" s="74"/>
      <c r="E39" s="74"/>
    </row>
    <row r="40" spans="1:7" s="73" customFormat="1" ht="33" customHeight="1" x14ac:dyDescent="0.25">
      <c r="A40" s="274" t="s">
        <v>23</v>
      </c>
      <c r="B40" s="274"/>
      <c r="C40" s="274"/>
      <c r="D40" s="274"/>
      <c r="E40" s="274"/>
    </row>
    <row r="41" spans="1:7" s="73" customFormat="1" ht="33" customHeight="1" x14ac:dyDescent="0.25">
      <c r="A41" s="274" t="s">
        <v>24</v>
      </c>
      <c r="B41" s="274"/>
      <c r="C41" s="274"/>
      <c r="D41" s="274"/>
      <c r="E41" s="274"/>
    </row>
    <row r="42" spans="1:7" s="73" customFormat="1" ht="33" customHeight="1" x14ac:dyDescent="0.25">
      <c r="A42" s="74" t="s">
        <v>25</v>
      </c>
      <c r="B42" s="83"/>
      <c r="C42" s="74"/>
      <c r="D42" s="74"/>
      <c r="E42" s="74"/>
    </row>
    <row r="43" spans="1:7" s="73" customFormat="1" ht="33" customHeight="1" x14ac:dyDescent="0.25">
      <c r="A43" s="75" t="s">
        <v>26</v>
      </c>
      <c r="B43" s="75"/>
      <c r="C43" s="74"/>
      <c r="D43" s="74"/>
      <c r="E43" s="74"/>
    </row>
    <row r="44" spans="1:7" ht="28.5" x14ac:dyDescent="0.25">
      <c r="A44" s="74"/>
      <c r="B44" s="83"/>
      <c r="C44" s="74"/>
      <c r="D44" s="74"/>
      <c r="E44" s="74"/>
    </row>
    <row r="45" spans="1:7" ht="28.5" x14ac:dyDescent="0.45">
      <c r="A45" s="76"/>
      <c r="B45" s="76"/>
      <c r="C45" s="76"/>
      <c r="D45" s="76"/>
      <c r="E45" s="76"/>
    </row>
  </sheetData>
  <mergeCells count="21">
    <mergeCell ref="A36:B36"/>
    <mergeCell ref="A23:A24"/>
    <mergeCell ref="A25:A27"/>
    <mergeCell ref="A28:A31"/>
    <mergeCell ref="A32:A34"/>
    <mergeCell ref="A41:E41"/>
    <mergeCell ref="D2:E2"/>
    <mergeCell ref="D3:E3"/>
    <mergeCell ref="D5:E5"/>
    <mergeCell ref="A7:E7"/>
    <mergeCell ref="A8:E8"/>
    <mergeCell ref="A10:A11"/>
    <mergeCell ref="C10:C11"/>
    <mergeCell ref="D10:E10"/>
    <mergeCell ref="A38:E38"/>
    <mergeCell ref="A39:C39"/>
    <mergeCell ref="A40:E40"/>
    <mergeCell ref="B10:B11"/>
    <mergeCell ref="A12:A17"/>
    <mergeCell ref="A18:A20"/>
    <mergeCell ref="A21:A22"/>
  </mergeCells>
  <hyperlinks>
    <hyperlink ref="A43" r:id="rId1" xr:uid="{8C87B112-B333-44DC-92EA-B2AA702C8595}"/>
  </hyperlinks>
  <pageMargins left="0.59055118110236227" right="0.59055118110236227" top="0.19685039370078741" bottom="0.19685039370078741" header="0" footer="0"/>
  <pageSetup paperSize="9" scale="3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59C2-D24E-4464-BF50-1018F4667F0F}">
  <sheetPr>
    <pageSetUpPr fitToPage="1"/>
  </sheetPr>
  <dimension ref="A1:AB54"/>
  <sheetViews>
    <sheetView view="pageBreakPreview" topLeftCell="A2" zoomScale="55" zoomScaleNormal="85" zoomScaleSheetLayoutView="55" workbookViewId="0">
      <selection activeCell="O16" sqref="O16"/>
    </sheetView>
  </sheetViews>
  <sheetFormatPr defaultRowHeight="21" x14ac:dyDescent="0.25"/>
  <cols>
    <col min="1" max="1" width="10.625" customWidth="1"/>
    <col min="2" max="2" width="15.625" customWidth="1"/>
    <col min="3" max="3" width="80.625" customWidth="1"/>
    <col min="4" max="14" width="15.625" customWidth="1"/>
    <col min="15" max="15" width="10.625" customWidth="1"/>
    <col min="16" max="16" width="15.625" style="8" customWidth="1"/>
    <col min="17" max="17" width="1.625" style="38" customWidth="1"/>
    <col min="18" max="18" width="12.625" style="41" customWidth="1"/>
    <col min="19" max="19" width="12.625" customWidth="1"/>
    <col min="20" max="20" width="17.625" customWidth="1"/>
  </cols>
  <sheetData>
    <row r="1" spans="1:22" ht="18.75" hidden="1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"/>
    </row>
    <row r="2" spans="1:22" ht="30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7" t="s">
        <v>15</v>
      </c>
      <c r="N2" s="48"/>
      <c r="O2" s="48"/>
      <c r="P2" s="46"/>
      <c r="R2" s="42"/>
    </row>
    <row r="3" spans="1:22" ht="30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59" t="s">
        <v>101</v>
      </c>
      <c r="L3" s="151"/>
      <c r="N3" s="60"/>
      <c r="O3" s="60"/>
      <c r="P3" s="254" t="s">
        <v>102</v>
      </c>
      <c r="Q3" s="254"/>
      <c r="R3" s="254"/>
    </row>
    <row r="4" spans="1:22" ht="30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47"/>
      <c r="N4" s="48"/>
      <c r="O4" s="48"/>
      <c r="P4" s="46"/>
      <c r="R4" s="42"/>
    </row>
    <row r="5" spans="1:22" ht="30" customHeight="1" x14ac:dyDescent="0.25">
      <c r="A5" s="267" t="s">
        <v>100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45"/>
      <c r="P5" s="255" t="str">
        <f>'Прайс Уфа'!E9</f>
        <v>от 17.01.2023 г.</v>
      </c>
      <c r="Q5" s="255"/>
      <c r="R5" s="255"/>
    </row>
    <row r="6" spans="1:22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R6" s="42"/>
    </row>
    <row r="7" spans="1:22" ht="30" customHeight="1" thickBot="1" x14ac:dyDescent="0.3">
      <c r="A7" s="270" t="s">
        <v>2</v>
      </c>
      <c r="B7" s="271"/>
      <c r="C7" s="258" t="s">
        <v>4</v>
      </c>
      <c r="D7" s="258" t="s">
        <v>5</v>
      </c>
      <c r="E7" s="260" t="s">
        <v>1</v>
      </c>
      <c r="F7" s="262" t="s">
        <v>3</v>
      </c>
      <c r="G7" s="263"/>
      <c r="H7" s="263"/>
      <c r="I7" s="263"/>
      <c r="J7" s="263"/>
      <c r="K7" s="263"/>
      <c r="L7" s="263"/>
      <c r="M7" s="263"/>
      <c r="N7" s="264"/>
      <c r="O7" s="265" t="s">
        <v>0</v>
      </c>
      <c r="P7" s="268" t="s">
        <v>16</v>
      </c>
      <c r="R7" s="256" t="s">
        <v>14</v>
      </c>
    </row>
    <row r="8" spans="1:22" ht="90" customHeight="1" thickBot="1" x14ac:dyDescent="0.3">
      <c r="A8" s="272"/>
      <c r="B8" s="273"/>
      <c r="C8" s="259"/>
      <c r="D8" s="259"/>
      <c r="E8" s="261"/>
      <c r="F8" s="27" t="s">
        <v>11</v>
      </c>
      <c r="G8" s="44" t="s">
        <v>104</v>
      </c>
      <c r="H8" s="44" t="s">
        <v>10</v>
      </c>
      <c r="I8" s="28" t="s">
        <v>13</v>
      </c>
      <c r="J8" s="28" t="s">
        <v>12</v>
      </c>
      <c r="K8" s="28" t="s">
        <v>7</v>
      </c>
      <c r="L8" s="28" t="s">
        <v>6</v>
      </c>
      <c r="M8" s="28" t="s">
        <v>8</v>
      </c>
      <c r="N8" s="29" t="s">
        <v>9</v>
      </c>
      <c r="O8" s="291"/>
      <c r="P8" s="292"/>
      <c r="R8" s="256"/>
      <c r="S8" s="81" t="s">
        <v>29</v>
      </c>
      <c r="T8" s="150" t="s">
        <v>28</v>
      </c>
    </row>
    <row r="9" spans="1:22" ht="35.1" hidden="1" customHeight="1" thickBot="1" x14ac:dyDescent="0.3">
      <c r="A9" s="293" t="s">
        <v>31</v>
      </c>
      <c r="B9" s="177" t="s">
        <v>79</v>
      </c>
      <c r="C9" s="21" t="s">
        <v>35</v>
      </c>
      <c r="D9" s="87" t="s">
        <v>48</v>
      </c>
      <c r="E9" s="22">
        <v>103000</v>
      </c>
      <c r="F9" s="233">
        <v>1200</v>
      </c>
      <c r="G9" s="88">
        <v>545.00273972602736</v>
      </c>
      <c r="H9" s="89">
        <v>350</v>
      </c>
      <c r="I9" s="23"/>
      <c r="J9" s="23"/>
      <c r="K9" s="24">
        <v>0</v>
      </c>
      <c r="L9" s="25">
        <f t="shared" ref="L9:L33" si="0">E9*K9%</f>
        <v>0</v>
      </c>
      <c r="M9" s="21"/>
      <c r="N9" s="33">
        <f>L9+H9+G9+F9+J9+M9+I9</f>
        <v>2095.0027397260274</v>
      </c>
      <c r="O9" s="52">
        <v>0.05</v>
      </c>
      <c r="P9" s="56">
        <f t="shared" ref="P9:P33" si="1">FLOOR(Q9-(Q9*O9),100)</f>
        <v>95800</v>
      </c>
      <c r="Q9" s="39">
        <f t="shared" ref="Q9:Q33" si="2">E9-N9</f>
        <v>100904.99726027397</v>
      </c>
      <c r="R9" s="50">
        <f>E9-N9-P9</f>
        <v>5104.9972602739726</v>
      </c>
      <c r="S9" s="79">
        <f>P9*13%/365*14</f>
        <v>477.68767123287671</v>
      </c>
      <c r="T9" s="56">
        <v>109200</v>
      </c>
      <c r="U9" s="49">
        <f>P9-T9</f>
        <v>-13400</v>
      </c>
    </row>
    <row r="10" spans="1:22" ht="35.1" hidden="1" customHeight="1" thickBot="1" x14ac:dyDescent="0.3">
      <c r="A10" s="289"/>
      <c r="B10" s="178" t="s">
        <v>80</v>
      </c>
      <c r="C10" s="2" t="s">
        <v>36</v>
      </c>
      <c r="D10" s="15" t="s">
        <v>48</v>
      </c>
      <c r="E10" s="19">
        <v>98000</v>
      </c>
      <c r="F10" s="234">
        <v>1200</v>
      </c>
      <c r="G10" s="32">
        <v>498.6301369863013</v>
      </c>
      <c r="H10" s="16">
        <v>350</v>
      </c>
      <c r="I10" s="9"/>
      <c r="J10" s="9"/>
      <c r="K10" s="10">
        <v>0</v>
      </c>
      <c r="L10" s="11">
        <f t="shared" si="0"/>
        <v>0</v>
      </c>
      <c r="M10" s="2"/>
      <c r="N10" s="34">
        <f>L10+H10+G10+F10+J10+M10+I10</f>
        <v>2048.6301369863013</v>
      </c>
      <c r="O10" s="53">
        <v>0.05</v>
      </c>
      <c r="P10" s="57">
        <f t="shared" si="1"/>
        <v>91100</v>
      </c>
      <c r="Q10" s="39">
        <f t="shared" si="2"/>
        <v>95951.369863013693</v>
      </c>
      <c r="R10" s="51">
        <f t="shared" ref="R10:R33" si="3">E10-N10-P10</f>
        <v>4851.3698630136932</v>
      </c>
      <c r="S10" s="79">
        <f t="shared" ref="S10:S33" si="4">P10*13%/365*14</f>
        <v>454.25205479452057</v>
      </c>
      <c r="T10" s="57">
        <v>103700</v>
      </c>
      <c r="U10" s="49">
        <f t="shared" ref="U10:U14" si="5">P10-T10</f>
        <v>-12600</v>
      </c>
    </row>
    <row r="11" spans="1:22" s="8" customFormat="1" ht="35.1" hidden="1" customHeight="1" thickBot="1" x14ac:dyDescent="0.3">
      <c r="A11" s="289"/>
      <c r="B11" s="178" t="s">
        <v>33</v>
      </c>
      <c r="C11" s="15" t="s">
        <v>37</v>
      </c>
      <c r="D11" s="15" t="s">
        <v>48</v>
      </c>
      <c r="E11" s="19">
        <v>64000</v>
      </c>
      <c r="F11" s="235">
        <v>1500</v>
      </c>
      <c r="G11" s="202">
        <v>287.70958904109591</v>
      </c>
      <c r="H11" s="171">
        <v>350</v>
      </c>
      <c r="I11" s="203"/>
      <c r="J11" s="203"/>
      <c r="K11" s="204">
        <v>0</v>
      </c>
      <c r="L11" s="205">
        <f t="shared" si="0"/>
        <v>0</v>
      </c>
      <c r="M11" s="97"/>
      <c r="N11" s="175">
        <f t="shared" ref="N11:N14" si="6">L11+H11+G11+F11+J11+M11+I11</f>
        <v>2137.709589041096</v>
      </c>
      <c r="O11" s="229">
        <v>7.0000000000000007E-2</v>
      </c>
      <c r="P11" s="57">
        <f t="shared" si="1"/>
        <v>57500</v>
      </c>
      <c r="Q11" s="40">
        <f t="shared" si="2"/>
        <v>61862.290410958907</v>
      </c>
      <c r="R11" s="51">
        <f t="shared" si="3"/>
        <v>4362.2904109589072</v>
      </c>
      <c r="S11" s="79">
        <f t="shared" si="4"/>
        <v>286.71232876712327</v>
      </c>
      <c r="T11" s="57">
        <v>57500</v>
      </c>
      <c r="U11" s="49">
        <f t="shared" si="5"/>
        <v>0</v>
      </c>
    </row>
    <row r="12" spans="1:22" s="8" customFormat="1" ht="50.1" customHeight="1" thickBot="1" x14ac:dyDescent="0.3">
      <c r="A12" s="289"/>
      <c r="B12" s="178" t="s">
        <v>81</v>
      </c>
      <c r="C12" s="15" t="s">
        <v>77</v>
      </c>
      <c r="D12" s="15" t="s">
        <v>106</v>
      </c>
      <c r="E12" s="19">
        <f>'Расчет Уфа'!E12</f>
        <v>110000</v>
      </c>
      <c r="F12" s="236">
        <v>4000</v>
      </c>
      <c r="G12" s="88">
        <v>476.16438356164383</v>
      </c>
      <c r="H12" s="89">
        <v>350</v>
      </c>
      <c r="I12" s="88">
        <v>600</v>
      </c>
      <c r="J12" s="89"/>
      <c r="K12" s="224">
        <v>0</v>
      </c>
      <c r="L12" s="225">
        <f t="shared" si="0"/>
        <v>0</v>
      </c>
      <c r="M12" s="225">
        <v>8575</v>
      </c>
      <c r="N12" s="33">
        <f>L12+H12+G12+F12+J12+M12+I12</f>
        <v>14001.164383561645</v>
      </c>
      <c r="O12" s="230">
        <v>0.08</v>
      </c>
      <c r="P12" s="227">
        <f>FLOOR(Q12-(Q12*O12),500)</f>
        <v>88000</v>
      </c>
      <c r="Q12" s="40">
        <f>E12-N12</f>
        <v>95998.835616438359</v>
      </c>
      <c r="R12" s="51">
        <f t="shared" si="3"/>
        <v>7998.8356164383586</v>
      </c>
      <c r="S12" s="79">
        <f>P12*11%/365*20</f>
        <v>530.41095890410952</v>
      </c>
      <c r="T12" s="57">
        <v>100000</v>
      </c>
      <c r="U12" s="49">
        <f t="shared" si="5"/>
        <v>-12000</v>
      </c>
      <c r="V12" s="8">
        <f>P12*7%</f>
        <v>6160.0000000000009</v>
      </c>
    </row>
    <row r="13" spans="1:22" ht="50.1" customHeight="1" thickBot="1" x14ac:dyDescent="0.3">
      <c r="A13" s="289"/>
      <c r="B13" s="178" t="s">
        <v>82</v>
      </c>
      <c r="C13" s="2" t="s">
        <v>38</v>
      </c>
      <c r="D13" s="15" t="s">
        <v>106</v>
      </c>
      <c r="E13" s="19">
        <f>'Расчет Уфа'!E13</f>
        <v>60000</v>
      </c>
      <c r="F13" s="236">
        <v>4000</v>
      </c>
      <c r="G13" s="30">
        <v>397.8082191780822</v>
      </c>
      <c r="H13" s="16">
        <v>350</v>
      </c>
      <c r="I13" s="9">
        <v>600</v>
      </c>
      <c r="J13" s="9"/>
      <c r="K13" s="10">
        <v>1</v>
      </c>
      <c r="L13" s="11">
        <f t="shared" si="0"/>
        <v>600</v>
      </c>
      <c r="M13" s="36">
        <v>5985.0000000000009</v>
      </c>
      <c r="N13" s="34">
        <f>L13+H13+G13+F13+J13+M13+I13</f>
        <v>11932.808219178083</v>
      </c>
      <c r="O13" s="231">
        <v>0.08</v>
      </c>
      <c r="P13" s="227">
        <f>FLOOR(Q13-(Q13*O13),500)</f>
        <v>44000</v>
      </c>
      <c r="Q13" s="39">
        <f t="shared" si="2"/>
        <v>48067.191780821915</v>
      </c>
      <c r="R13" s="51">
        <f t="shared" si="3"/>
        <v>4067.191780821915</v>
      </c>
      <c r="S13" s="79">
        <f t="shared" ref="S13:S28" si="7">P13*11%/365*20</f>
        <v>265.20547945205476</v>
      </c>
      <c r="T13" s="57">
        <v>72200</v>
      </c>
      <c r="U13" s="49">
        <f t="shared" si="5"/>
        <v>-28200</v>
      </c>
      <c r="V13" s="8">
        <f>P13*7%</f>
        <v>3080.0000000000005</v>
      </c>
    </row>
    <row r="14" spans="1:22" ht="35.1" hidden="1" customHeight="1" thickBot="1" x14ac:dyDescent="0.3">
      <c r="A14" s="289"/>
      <c r="B14" s="178" t="s">
        <v>83</v>
      </c>
      <c r="C14" s="2" t="s">
        <v>39</v>
      </c>
      <c r="D14" s="15" t="s">
        <v>106</v>
      </c>
      <c r="E14" s="19">
        <v>40000</v>
      </c>
      <c r="F14" s="236">
        <v>4000</v>
      </c>
      <c r="G14" s="30">
        <v>204.93150684931507</v>
      </c>
      <c r="H14" s="16">
        <v>350</v>
      </c>
      <c r="I14" s="9"/>
      <c r="J14" s="9"/>
      <c r="K14" s="10">
        <v>0</v>
      </c>
      <c r="L14" s="11">
        <f t="shared" si="0"/>
        <v>0</v>
      </c>
      <c r="M14" s="36">
        <v>2380</v>
      </c>
      <c r="N14" s="34">
        <f t="shared" si="6"/>
        <v>6934.9315068493152</v>
      </c>
      <c r="O14" s="231">
        <v>0.05</v>
      </c>
      <c r="P14" s="227">
        <f t="shared" ref="P14:P27" si="8">FLOOR(Q14-(Q14*O14),1000)</f>
        <v>31000</v>
      </c>
      <c r="Q14" s="39">
        <f t="shared" si="2"/>
        <v>33065.068493150684</v>
      </c>
      <c r="R14" s="51">
        <f t="shared" si="3"/>
        <v>2065.0684931506839</v>
      </c>
      <c r="S14" s="79">
        <f t="shared" si="7"/>
        <v>186.84931506849313</v>
      </c>
      <c r="T14" s="57">
        <v>43500</v>
      </c>
      <c r="U14" s="49">
        <f t="shared" si="5"/>
        <v>-12500</v>
      </c>
      <c r="V14" s="8">
        <f t="shared" ref="V14:V33" si="9">P14*7%</f>
        <v>2170</v>
      </c>
    </row>
    <row r="15" spans="1:22" ht="60" hidden="1" customHeight="1" thickBot="1" x14ac:dyDescent="0.3">
      <c r="A15" s="289" t="s">
        <v>43</v>
      </c>
      <c r="B15" s="178" t="s">
        <v>84</v>
      </c>
      <c r="C15" s="2" t="s">
        <v>52</v>
      </c>
      <c r="D15" s="15" t="s">
        <v>106</v>
      </c>
      <c r="E15" s="19">
        <v>355000</v>
      </c>
      <c r="F15" s="236">
        <v>4000</v>
      </c>
      <c r="G15" s="32">
        <v>1898.6301369863013</v>
      </c>
      <c r="H15" s="16">
        <v>350</v>
      </c>
      <c r="I15" s="9">
        <v>600</v>
      </c>
      <c r="J15" s="9"/>
      <c r="K15" s="10">
        <v>0</v>
      </c>
      <c r="L15" s="11">
        <f t="shared" si="0"/>
        <v>0</v>
      </c>
      <c r="M15" s="36">
        <v>22050.000000000004</v>
      </c>
      <c r="N15" s="34">
        <f>L15+H15+G15+F15+J15+M15+I15</f>
        <v>28898.630136986307</v>
      </c>
      <c r="O15" s="231">
        <v>0.04</v>
      </c>
      <c r="P15" s="227">
        <f t="shared" si="8"/>
        <v>313000</v>
      </c>
      <c r="Q15" s="39">
        <f t="shared" si="2"/>
        <v>326101.36986301368</v>
      </c>
      <c r="R15" s="50">
        <f>E15-N15-P15</f>
        <v>13101.369863013679</v>
      </c>
      <c r="S15" s="79">
        <f t="shared" si="7"/>
        <v>1886.5753424657535</v>
      </c>
      <c r="T15" s="56">
        <v>394800</v>
      </c>
      <c r="U15" s="49">
        <f>P15-T15</f>
        <v>-81800</v>
      </c>
      <c r="V15" s="8">
        <f t="shared" si="9"/>
        <v>21910.000000000004</v>
      </c>
    </row>
    <row r="16" spans="1:22" ht="50.1" customHeight="1" thickBot="1" x14ac:dyDescent="0.3">
      <c r="A16" s="289"/>
      <c r="B16" s="178" t="s">
        <v>85</v>
      </c>
      <c r="C16" s="2" t="s">
        <v>53</v>
      </c>
      <c r="D16" s="15" t="s">
        <v>106</v>
      </c>
      <c r="E16" s="19">
        <f>'Расчет Уфа'!E16</f>
        <v>580000</v>
      </c>
      <c r="F16" s="236">
        <v>4000</v>
      </c>
      <c r="G16" s="30">
        <v>2329.5890410958905</v>
      </c>
      <c r="H16" s="16">
        <v>350</v>
      </c>
      <c r="I16" s="9">
        <v>600</v>
      </c>
      <c r="J16" s="9"/>
      <c r="K16" s="10">
        <v>0</v>
      </c>
      <c r="L16" s="11">
        <f t="shared" si="0"/>
        <v>0</v>
      </c>
      <c r="M16" s="36">
        <v>19400</v>
      </c>
      <c r="N16" s="34">
        <f>L16+H16+G16+F16+J16+M16+I16</f>
        <v>26679.589041095889</v>
      </c>
      <c r="O16" s="231">
        <v>0.06</v>
      </c>
      <c r="P16" s="227">
        <f>FLOOR(Q16-(Q16*O16),500)</f>
        <v>520000</v>
      </c>
      <c r="Q16" s="39">
        <f t="shared" si="2"/>
        <v>553320.41095890407</v>
      </c>
      <c r="R16" s="51">
        <f t="shared" ref="R16:R17" si="10">E16-N16-P16</f>
        <v>33320.410958904075</v>
      </c>
      <c r="S16" s="79">
        <f>P16*11%/365*20</f>
        <v>3134.2465753424658</v>
      </c>
      <c r="T16" s="57">
        <v>378900</v>
      </c>
      <c r="U16" s="49">
        <f t="shared" ref="U16:U17" si="11">P16-T16</f>
        <v>141100</v>
      </c>
      <c r="V16" s="8">
        <f>P16*4%</f>
        <v>20800</v>
      </c>
    </row>
    <row r="17" spans="1:22" ht="35.1" hidden="1" customHeight="1" thickBot="1" x14ac:dyDescent="0.3">
      <c r="A17" s="289"/>
      <c r="B17" s="178" t="s">
        <v>86</v>
      </c>
      <c r="C17" s="2" t="s">
        <v>54</v>
      </c>
      <c r="D17" s="15" t="s">
        <v>106</v>
      </c>
      <c r="E17" s="19">
        <v>285000</v>
      </c>
      <c r="F17" s="236">
        <v>4000</v>
      </c>
      <c r="G17" s="30">
        <v>1518.9041095890411</v>
      </c>
      <c r="H17" s="16">
        <v>350</v>
      </c>
      <c r="I17" s="9">
        <v>600</v>
      </c>
      <c r="J17" s="9"/>
      <c r="K17" s="10">
        <v>0</v>
      </c>
      <c r="L17" s="11">
        <f t="shared" si="0"/>
        <v>0</v>
      </c>
      <c r="M17" s="36">
        <v>17640</v>
      </c>
      <c r="N17" s="34">
        <f t="shared" ref="N17" si="12">L17+H17+G17+F17+J17+M17+I17</f>
        <v>24108.904109589042</v>
      </c>
      <c r="O17" s="231">
        <v>0.04</v>
      </c>
      <c r="P17" s="227">
        <f t="shared" si="8"/>
        <v>250000</v>
      </c>
      <c r="Q17" s="39">
        <f t="shared" si="2"/>
        <v>260891.09589041094</v>
      </c>
      <c r="R17" s="51">
        <f t="shared" si="10"/>
        <v>10891.095890410943</v>
      </c>
      <c r="S17" s="79">
        <f t="shared" si="7"/>
        <v>1506.8493150684933</v>
      </c>
      <c r="T17" s="57">
        <v>320400</v>
      </c>
      <c r="U17" s="49">
        <f t="shared" si="11"/>
        <v>-70400</v>
      </c>
      <c r="V17" s="8">
        <f t="shared" si="9"/>
        <v>17500</v>
      </c>
    </row>
    <row r="18" spans="1:22" ht="35.1" hidden="1" customHeight="1" thickBot="1" x14ac:dyDescent="0.3">
      <c r="A18" s="289" t="s">
        <v>44</v>
      </c>
      <c r="B18" s="178" t="s">
        <v>87</v>
      </c>
      <c r="C18" s="2" t="s">
        <v>55</v>
      </c>
      <c r="D18" s="15" t="s">
        <v>106</v>
      </c>
      <c r="E18" s="19">
        <v>245000</v>
      </c>
      <c r="F18" s="236">
        <v>4000</v>
      </c>
      <c r="G18" s="32">
        <v>1295.8904109589043</v>
      </c>
      <c r="H18" s="16">
        <v>350</v>
      </c>
      <c r="I18" s="9">
        <v>600</v>
      </c>
      <c r="J18" s="9"/>
      <c r="K18" s="10">
        <v>0</v>
      </c>
      <c r="L18" s="11">
        <f t="shared" si="0"/>
        <v>0</v>
      </c>
      <c r="M18" s="36">
        <v>15050.000000000002</v>
      </c>
      <c r="N18" s="34">
        <f>L18+H18+G18+F18+J18+M18+I18</f>
        <v>21295.890410958906</v>
      </c>
      <c r="O18" s="231">
        <v>0.05</v>
      </c>
      <c r="P18" s="227">
        <f t="shared" si="8"/>
        <v>212000</v>
      </c>
      <c r="Q18" s="39">
        <f t="shared" si="2"/>
        <v>223704.10958904109</v>
      </c>
      <c r="R18" s="50">
        <f>E18-N18-P18</f>
        <v>11704.109589041094</v>
      </c>
      <c r="S18" s="79">
        <f t="shared" si="7"/>
        <v>1277.8082191780823</v>
      </c>
      <c r="T18" s="56">
        <v>279200</v>
      </c>
      <c r="U18" s="49">
        <f>P18-T18</f>
        <v>-67200</v>
      </c>
      <c r="V18" s="8">
        <f t="shared" si="9"/>
        <v>14840.000000000002</v>
      </c>
    </row>
    <row r="19" spans="1:22" ht="35.1" hidden="1" customHeight="1" thickBot="1" x14ac:dyDescent="0.3">
      <c r="A19" s="289"/>
      <c r="B19" s="178" t="s">
        <v>34</v>
      </c>
      <c r="C19" s="2" t="s">
        <v>54</v>
      </c>
      <c r="D19" s="15" t="s">
        <v>106</v>
      </c>
      <c r="E19" s="19">
        <v>210000</v>
      </c>
      <c r="F19" s="236">
        <v>4000</v>
      </c>
      <c r="G19" s="30">
        <v>1084.9315068493152</v>
      </c>
      <c r="H19" s="16">
        <v>350</v>
      </c>
      <c r="I19" s="9"/>
      <c r="J19" s="9"/>
      <c r="K19" s="10">
        <v>0</v>
      </c>
      <c r="L19" s="11">
        <f t="shared" si="0"/>
        <v>0</v>
      </c>
      <c r="M19" s="36">
        <v>12530.000000000002</v>
      </c>
      <c r="N19" s="34">
        <f t="shared" ref="N19" si="13">L19+H19+G19+F19+J19+M19+I19</f>
        <v>17964.931506849316</v>
      </c>
      <c r="O19" s="231">
        <v>7.0000000000000007E-2</v>
      </c>
      <c r="P19" s="227">
        <f t="shared" si="8"/>
        <v>178000</v>
      </c>
      <c r="Q19" s="39">
        <f t="shared" si="2"/>
        <v>192035.0684931507</v>
      </c>
      <c r="R19" s="51">
        <f t="shared" ref="R19" si="14">E19-N19-P19</f>
        <v>14035.068493150698</v>
      </c>
      <c r="S19" s="79">
        <f t="shared" si="7"/>
        <v>1072.8767123287671</v>
      </c>
      <c r="T19" s="57">
        <v>191500</v>
      </c>
      <c r="U19" s="49">
        <f t="shared" ref="U19" si="15">P19-T19</f>
        <v>-13500</v>
      </c>
      <c r="V19" s="8">
        <f t="shared" si="9"/>
        <v>12460.000000000002</v>
      </c>
    </row>
    <row r="20" spans="1:22" ht="50.1" customHeight="1" thickBot="1" x14ac:dyDescent="0.3">
      <c r="A20" s="289" t="s">
        <v>45</v>
      </c>
      <c r="B20" s="178" t="s">
        <v>88</v>
      </c>
      <c r="C20" s="2" t="s">
        <v>56</v>
      </c>
      <c r="D20" s="15" t="s">
        <v>106</v>
      </c>
      <c r="E20" s="19">
        <f>'Расчет Уфа'!E20</f>
        <v>325000</v>
      </c>
      <c r="F20" s="236">
        <v>4000</v>
      </c>
      <c r="G20" s="32">
        <v>1350.1369863013699</v>
      </c>
      <c r="H20" s="16">
        <v>350</v>
      </c>
      <c r="I20" s="9">
        <v>600</v>
      </c>
      <c r="J20" s="9"/>
      <c r="K20" s="10">
        <v>0</v>
      </c>
      <c r="L20" s="11">
        <f t="shared" si="0"/>
        <v>0</v>
      </c>
      <c r="M20" s="36">
        <v>19320.000000000004</v>
      </c>
      <c r="N20" s="34">
        <f>L20+H20+G20+F20+J20+M20+I20</f>
        <v>25620.136986301375</v>
      </c>
      <c r="O20" s="231">
        <v>0.06</v>
      </c>
      <c r="P20" s="227">
        <f>FLOOR(Q20-(Q20*O20),500)</f>
        <v>281000</v>
      </c>
      <c r="Q20" s="39">
        <f t="shared" si="2"/>
        <v>299379.8630136986</v>
      </c>
      <c r="R20" s="50">
        <f>E20-N20-P20</f>
        <v>18379.863013698603</v>
      </c>
      <c r="S20" s="79">
        <f t="shared" si="7"/>
        <v>1693.6986301369861</v>
      </c>
      <c r="T20" s="56">
        <v>226900</v>
      </c>
      <c r="U20" s="49">
        <f>P20-T20</f>
        <v>54100</v>
      </c>
      <c r="V20" s="8">
        <f t="shared" si="9"/>
        <v>19670.000000000004</v>
      </c>
    </row>
    <row r="21" spans="1:22" ht="35.1" hidden="1" customHeight="1" thickBot="1" x14ac:dyDescent="0.3">
      <c r="A21" s="289"/>
      <c r="B21" s="178" t="s">
        <v>89</v>
      </c>
      <c r="C21" s="2" t="s">
        <v>54</v>
      </c>
      <c r="D21" s="15" t="s">
        <v>106</v>
      </c>
      <c r="E21" s="19">
        <v>165000</v>
      </c>
      <c r="F21" s="236">
        <v>4000</v>
      </c>
      <c r="G21" s="30">
        <v>861.91780821917803</v>
      </c>
      <c r="H21" s="16">
        <v>350</v>
      </c>
      <c r="I21" s="9">
        <v>600</v>
      </c>
      <c r="J21" s="9"/>
      <c r="K21" s="10">
        <v>0</v>
      </c>
      <c r="L21" s="11">
        <f t="shared" si="0"/>
        <v>0</v>
      </c>
      <c r="M21" s="36">
        <v>10010.000000000002</v>
      </c>
      <c r="N21" s="34">
        <f t="shared" ref="N21" si="16">L21+H21+G21+F21+J21+M21+I21</f>
        <v>15821.917808219179</v>
      </c>
      <c r="O21" s="231">
        <v>0.05</v>
      </c>
      <c r="P21" s="227">
        <f t="shared" si="8"/>
        <v>141000</v>
      </c>
      <c r="Q21" s="39">
        <f t="shared" si="2"/>
        <v>149178.08219178082</v>
      </c>
      <c r="R21" s="51">
        <f t="shared" ref="R21" si="17">E21-N21-P21</f>
        <v>8178.0821917808207</v>
      </c>
      <c r="S21" s="79">
        <f t="shared" si="7"/>
        <v>849.86301369863008</v>
      </c>
      <c r="T21" s="57">
        <v>189300</v>
      </c>
      <c r="U21" s="49">
        <f t="shared" ref="U21" si="18">P21-T21</f>
        <v>-48300</v>
      </c>
      <c r="V21" s="8">
        <f t="shared" si="9"/>
        <v>9870.0000000000018</v>
      </c>
    </row>
    <row r="22" spans="1:22" ht="35.1" hidden="1" customHeight="1" thickBot="1" x14ac:dyDescent="0.3">
      <c r="A22" s="289" t="s">
        <v>46</v>
      </c>
      <c r="B22" s="178" t="s">
        <v>90</v>
      </c>
      <c r="C22" s="2" t="s">
        <v>57</v>
      </c>
      <c r="D22" s="15" t="s">
        <v>106</v>
      </c>
      <c r="E22" s="19">
        <v>220000</v>
      </c>
      <c r="F22" s="236">
        <v>4000</v>
      </c>
      <c r="G22" s="32">
        <v>1078.9041095890411</v>
      </c>
      <c r="H22" s="16">
        <v>350</v>
      </c>
      <c r="I22" s="9">
        <v>600</v>
      </c>
      <c r="J22" s="9"/>
      <c r="K22" s="10">
        <v>0</v>
      </c>
      <c r="L22" s="11">
        <f t="shared" si="0"/>
        <v>0</v>
      </c>
      <c r="M22" s="36">
        <v>12530.000000000002</v>
      </c>
      <c r="N22" s="34">
        <f>L22+H22+G22+F22+J22+M22+I22</f>
        <v>18558.904109589042</v>
      </c>
      <c r="O22" s="231">
        <v>0.121</v>
      </c>
      <c r="P22" s="227">
        <f t="shared" si="8"/>
        <v>177000</v>
      </c>
      <c r="Q22" s="39">
        <f t="shared" si="2"/>
        <v>201441.09589041094</v>
      </c>
      <c r="R22" s="50">
        <f>E22-N22-P22</f>
        <v>24441.095890410943</v>
      </c>
      <c r="S22" s="79">
        <f t="shared" si="7"/>
        <v>1066.8493150684931</v>
      </c>
      <c r="T22" s="56">
        <v>168300</v>
      </c>
      <c r="U22" s="49">
        <f>P22-T22</f>
        <v>8700</v>
      </c>
      <c r="V22" s="8">
        <f t="shared" si="9"/>
        <v>12390.000000000002</v>
      </c>
    </row>
    <row r="23" spans="1:22" ht="35.1" hidden="1" customHeight="1" thickBot="1" x14ac:dyDescent="0.3">
      <c r="A23" s="289"/>
      <c r="B23" s="178" t="s">
        <v>91</v>
      </c>
      <c r="C23" s="2" t="s">
        <v>58</v>
      </c>
      <c r="D23" s="15" t="s">
        <v>106</v>
      </c>
      <c r="E23" s="19">
        <v>180000</v>
      </c>
      <c r="F23" s="236">
        <v>4000</v>
      </c>
      <c r="G23" s="30">
        <v>880</v>
      </c>
      <c r="H23" s="16">
        <v>350</v>
      </c>
      <c r="I23" s="9">
        <v>600</v>
      </c>
      <c r="J23" s="9"/>
      <c r="K23" s="10">
        <v>0</v>
      </c>
      <c r="L23" s="11">
        <f t="shared" si="0"/>
        <v>0</v>
      </c>
      <c r="M23" s="36">
        <v>10220.000000000002</v>
      </c>
      <c r="N23" s="34">
        <f t="shared" ref="N23:N24" si="19">L23+H23+G23+F23+J23+M23+I23</f>
        <v>16050.000000000002</v>
      </c>
      <c r="O23" s="231">
        <v>0.12</v>
      </c>
      <c r="P23" s="227">
        <f t="shared" si="8"/>
        <v>144000</v>
      </c>
      <c r="Q23" s="39">
        <f t="shared" si="2"/>
        <v>163950</v>
      </c>
      <c r="R23" s="51">
        <f t="shared" ref="R23:R24" si="20">E23-N23-P23</f>
        <v>19950</v>
      </c>
      <c r="S23" s="79">
        <f t="shared" si="7"/>
        <v>867.94520547945217</v>
      </c>
      <c r="T23" s="57">
        <v>145900</v>
      </c>
      <c r="U23" s="49">
        <f t="shared" ref="U23:U24" si="21">P23-T23</f>
        <v>-1900</v>
      </c>
      <c r="V23" s="8">
        <f t="shared" si="9"/>
        <v>10080.000000000002</v>
      </c>
    </row>
    <row r="24" spans="1:22" ht="35.1" hidden="1" customHeight="1" thickBot="1" x14ac:dyDescent="0.3">
      <c r="A24" s="289"/>
      <c r="B24" s="178" t="s">
        <v>34</v>
      </c>
      <c r="C24" s="2" t="s">
        <v>59</v>
      </c>
      <c r="D24" s="15" t="s">
        <v>106</v>
      </c>
      <c r="E24" s="19">
        <v>90000</v>
      </c>
      <c r="F24" s="236">
        <v>4000</v>
      </c>
      <c r="G24" s="30">
        <v>440</v>
      </c>
      <c r="H24" s="16">
        <v>350</v>
      </c>
      <c r="I24" s="9"/>
      <c r="J24" s="9"/>
      <c r="K24" s="10">
        <v>0</v>
      </c>
      <c r="L24" s="11">
        <f t="shared" si="0"/>
        <v>0</v>
      </c>
      <c r="M24" s="36">
        <v>5110.0000000000009</v>
      </c>
      <c r="N24" s="34">
        <f t="shared" si="19"/>
        <v>9900</v>
      </c>
      <c r="O24" s="231">
        <v>0.1</v>
      </c>
      <c r="P24" s="227">
        <f t="shared" si="8"/>
        <v>72000</v>
      </c>
      <c r="Q24" s="39">
        <f t="shared" si="2"/>
        <v>80100</v>
      </c>
      <c r="R24" s="51">
        <f t="shared" si="20"/>
        <v>8100</v>
      </c>
      <c r="S24" s="79">
        <f t="shared" si="7"/>
        <v>433.97260273972609</v>
      </c>
      <c r="T24" s="57">
        <v>78000</v>
      </c>
      <c r="U24" s="49">
        <f t="shared" si="21"/>
        <v>-6000</v>
      </c>
      <c r="V24" s="8">
        <f t="shared" si="9"/>
        <v>5040.0000000000009</v>
      </c>
    </row>
    <row r="25" spans="1:22" ht="35.1" hidden="1" customHeight="1" thickBot="1" x14ac:dyDescent="0.3">
      <c r="A25" s="289" t="s">
        <v>47</v>
      </c>
      <c r="B25" s="178" t="s">
        <v>92</v>
      </c>
      <c r="C25" s="2" t="s">
        <v>60</v>
      </c>
      <c r="D25" s="15" t="s">
        <v>106</v>
      </c>
      <c r="E25" s="19">
        <v>104000</v>
      </c>
      <c r="F25" s="236">
        <v>4000</v>
      </c>
      <c r="G25" s="32">
        <v>530.41095890410952</v>
      </c>
      <c r="H25" s="16">
        <v>350</v>
      </c>
      <c r="I25" s="9">
        <v>600</v>
      </c>
      <c r="J25" s="9"/>
      <c r="K25" s="10">
        <v>0</v>
      </c>
      <c r="L25" s="11">
        <f t="shared" si="0"/>
        <v>0</v>
      </c>
      <c r="M25" s="36">
        <v>6160.0000000000009</v>
      </c>
      <c r="N25" s="34">
        <f>L25+H25+G25+F25+J25+M25+I25</f>
        <v>11640.410958904111</v>
      </c>
      <c r="O25" s="231">
        <v>7.0000000000000007E-2</v>
      </c>
      <c r="P25" s="227">
        <f t="shared" si="8"/>
        <v>85000</v>
      </c>
      <c r="Q25" s="39">
        <f t="shared" si="2"/>
        <v>92359.589041095896</v>
      </c>
      <c r="R25" s="50">
        <f>E25-N25-P25</f>
        <v>7359.5890410958964</v>
      </c>
      <c r="S25" s="79">
        <f t="shared" si="7"/>
        <v>512.32876712328766</v>
      </c>
      <c r="T25" s="56">
        <v>105700</v>
      </c>
      <c r="U25" s="49">
        <f>P25-T25</f>
        <v>-20700</v>
      </c>
      <c r="V25" s="8">
        <f t="shared" si="9"/>
        <v>5950.0000000000009</v>
      </c>
    </row>
    <row r="26" spans="1:22" ht="50.1" customHeight="1" thickBot="1" x14ac:dyDescent="0.3">
      <c r="A26" s="289"/>
      <c r="B26" s="178" t="s">
        <v>93</v>
      </c>
      <c r="C26" s="2" t="s">
        <v>78</v>
      </c>
      <c r="D26" s="15" t="s">
        <v>106</v>
      </c>
      <c r="E26" s="19">
        <f>'Расчет Уфа'!E26</f>
        <v>104000</v>
      </c>
      <c r="F26" s="236">
        <v>4000</v>
      </c>
      <c r="G26" s="32">
        <v>479.17808219178085</v>
      </c>
      <c r="H26" s="16">
        <v>350</v>
      </c>
      <c r="I26" s="9">
        <v>600</v>
      </c>
      <c r="J26" s="9"/>
      <c r="K26" s="10">
        <v>0</v>
      </c>
      <c r="L26" s="11">
        <f t="shared" si="0"/>
        <v>0</v>
      </c>
      <c r="M26" s="36">
        <v>6335.0000000000009</v>
      </c>
      <c r="N26" s="34">
        <f>L26+H26+G26+F26+J26+M26+I26</f>
        <v>11764.178082191782</v>
      </c>
      <c r="O26" s="231">
        <v>0.06</v>
      </c>
      <c r="P26" s="227">
        <f>FLOOR(Q26-(Q26*O26),500)</f>
        <v>86500</v>
      </c>
      <c r="Q26" s="39">
        <f t="shared" si="2"/>
        <v>92235.821917808222</v>
      </c>
      <c r="R26" s="50">
        <f>E26-N26-P26</f>
        <v>5735.8219178082218</v>
      </c>
      <c r="S26" s="79">
        <f t="shared" si="7"/>
        <v>521.3698630136987</v>
      </c>
      <c r="T26" s="56">
        <v>105701</v>
      </c>
      <c r="U26" s="49">
        <f>P26-T26</f>
        <v>-19201</v>
      </c>
      <c r="V26" s="8">
        <f t="shared" si="9"/>
        <v>6055.0000000000009</v>
      </c>
    </row>
    <row r="27" spans="1:22" ht="50.1" customHeight="1" thickBot="1" x14ac:dyDescent="0.3">
      <c r="A27" s="289"/>
      <c r="B27" s="178" t="s">
        <v>94</v>
      </c>
      <c r="C27" s="2" t="s">
        <v>69</v>
      </c>
      <c r="D27" s="15" t="s">
        <v>106</v>
      </c>
      <c r="E27" s="19">
        <f>'Расчет Уфа'!E27</f>
        <v>45000</v>
      </c>
      <c r="F27" s="236">
        <v>4000</v>
      </c>
      <c r="G27" s="30">
        <v>277.26027397260276</v>
      </c>
      <c r="H27" s="16">
        <v>350</v>
      </c>
      <c r="I27" s="9">
        <v>600</v>
      </c>
      <c r="J27" s="9"/>
      <c r="K27" s="10">
        <v>0</v>
      </c>
      <c r="L27" s="11">
        <f t="shared" si="0"/>
        <v>0</v>
      </c>
      <c r="M27" s="36">
        <v>4410</v>
      </c>
      <c r="N27" s="34">
        <f t="shared" ref="N27:N28" si="22">L27+H27+G27+F27+J27+M27+I27</f>
        <v>9637.2602739726026</v>
      </c>
      <c r="O27" s="231">
        <v>0.06</v>
      </c>
      <c r="P27" s="227">
        <f t="shared" si="8"/>
        <v>33000</v>
      </c>
      <c r="Q27" s="39">
        <f t="shared" si="2"/>
        <v>35362.739726027401</v>
      </c>
      <c r="R27" s="51">
        <f t="shared" ref="R27:R28" si="23">E27-N27-P27</f>
        <v>2362.739726027401</v>
      </c>
      <c r="S27" s="79">
        <f t="shared" si="7"/>
        <v>198.9041095890411</v>
      </c>
      <c r="T27" s="57">
        <v>57400</v>
      </c>
      <c r="U27" s="49">
        <f t="shared" ref="U27:U28" si="24">P27-T27</f>
        <v>-24400</v>
      </c>
      <c r="V27" s="8">
        <f t="shared" si="9"/>
        <v>2310</v>
      </c>
    </row>
    <row r="28" spans="1:22" ht="50.1" customHeight="1" thickBot="1" x14ac:dyDescent="0.3">
      <c r="A28" s="290"/>
      <c r="B28" s="179" t="s">
        <v>95</v>
      </c>
      <c r="C28" s="3" t="s">
        <v>68</v>
      </c>
      <c r="D28" s="164" t="s">
        <v>106</v>
      </c>
      <c r="E28" s="20">
        <f>'Расчет Уфа'!E28</f>
        <v>39000</v>
      </c>
      <c r="F28" s="236">
        <v>4000</v>
      </c>
      <c r="G28" s="31">
        <v>210.95890410958904</v>
      </c>
      <c r="H28" s="176">
        <v>350</v>
      </c>
      <c r="I28" s="13">
        <v>600</v>
      </c>
      <c r="J28" s="13"/>
      <c r="K28" s="14">
        <v>0</v>
      </c>
      <c r="L28" s="12">
        <f t="shared" si="0"/>
        <v>0</v>
      </c>
      <c r="M28" s="226">
        <v>3150.0000000000005</v>
      </c>
      <c r="N28" s="35">
        <f t="shared" si="22"/>
        <v>8310.9589041095896</v>
      </c>
      <c r="O28" s="232">
        <v>0.06</v>
      </c>
      <c r="P28" s="241">
        <f>FLOOR(Q28-(Q28*O28),500)</f>
        <v>28500</v>
      </c>
      <c r="Q28" s="39">
        <f t="shared" si="2"/>
        <v>30689.04109589041</v>
      </c>
      <c r="R28" s="51">
        <f t="shared" si="23"/>
        <v>2189.0410958904104</v>
      </c>
      <c r="S28" s="79">
        <f t="shared" si="7"/>
        <v>171.7808219178082</v>
      </c>
      <c r="T28" s="57">
        <v>51200</v>
      </c>
      <c r="U28" s="49">
        <f t="shared" si="24"/>
        <v>-22700</v>
      </c>
      <c r="V28" s="8">
        <f t="shared" si="9"/>
        <v>1995.0000000000002</v>
      </c>
    </row>
    <row r="29" spans="1:22" ht="35.1" hidden="1" customHeight="1" thickBot="1" x14ac:dyDescent="0.3">
      <c r="A29" s="247" t="s">
        <v>49</v>
      </c>
      <c r="B29" s="132" t="s">
        <v>96</v>
      </c>
      <c r="C29" s="133" t="s">
        <v>61</v>
      </c>
      <c r="D29" s="154" t="s">
        <v>48</v>
      </c>
      <c r="E29" s="155">
        <v>95000</v>
      </c>
      <c r="F29" s="156">
        <v>1200</v>
      </c>
      <c r="G29" s="157">
        <v>460.73424657534247</v>
      </c>
      <c r="H29" s="180">
        <v>350</v>
      </c>
      <c r="I29" s="158">
        <v>600</v>
      </c>
      <c r="J29" s="158"/>
      <c r="K29" s="159">
        <v>0</v>
      </c>
      <c r="L29" s="160">
        <f t="shared" si="0"/>
        <v>0</v>
      </c>
      <c r="M29" s="133"/>
      <c r="N29" s="223">
        <f>L29+H29+G29+F29+J29+M29+I29</f>
        <v>2610.7342465753427</v>
      </c>
      <c r="O29" s="228">
        <v>0.14000000000000001</v>
      </c>
      <c r="P29" s="240">
        <f t="shared" si="1"/>
        <v>79400</v>
      </c>
      <c r="Q29" s="39">
        <f t="shared" si="2"/>
        <v>92389.265753424654</v>
      </c>
      <c r="R29" s="50">
        <f>E29-N29-P29</f>
        <v>12989.265753424654</v>
      </c>
      <c r="S29" s="79">
        <f t="shared" si="4"/>
        <v>395.91232876712331</v>
      </c>
      <c r="T29" s="56">
        <v>100100</v>
      </c>
      <c r="U29" s="49">
        <f>P29-T29</f>
        <v>-20700</v>
      </c>
      <c r="V29" s="8">
        <f t="shared" si="9"/>
        <v>5558.0000000000009</v>
      </c>
    </row>
    <row r="30" spans="1:22" ht="35.1" hidden="1" customHeight="1" thickBot="1" x14ac:dyDescent="0.3">
      <c r="A30" s="247"/>
      <c r="B30" s="85" t="s">
        <v>96</v>
      </c>
      <c r="C30" s="2" t="s">
        <v>62</v>
      </c>
      <c r="D30" s="15" t="s">
        <v>48</v>
      </c>
      <c r="E30" s="19">
        <v>15000</v>
      </c>
      <c r="F30" s="37">
        <v>1200</v>
      </c>
      <c r="G30" s="30">
        <v>58.838356164383569</v>
      </c>
      <c r="H30" s="16">
        <v>350</v>
      </c>
      <c r="I30" s="9">
        <v>600</v>
      </c>
      <c r="J30" s="9"/>
      <c r="K30" s="10">
        <v>0</v>
      </c>
      <c r="L30" s="11">
        <f t="shared" si="0"/>
        <v>0</v>
      </c>
      <c r="M30" s="2"/>
      <c r="N30" s="163">
        <f t="shared" ref="N30:N31" si="25">L30+H30+G30+F30+J30+M30+I30</f>
        <v>2208.8383561643836</v>
      </c>
      <c r="O30" s="53">
        <v>0.1</v>
      </c>
      <c r="P30" s="57">
        <f t="shared" si="1"/>
        <v>11500</v>
      </c>
      <c r="Q30" s="39">
        <f t="shared" si="2"/>
        <v>12791.161643835616</v>
      </c>
      <c r="R30" s="51">
        <f t="shared" ref="R30:R32" si="26">E30-N30-P30</f>
        <v>1291.1616438356159</v>
      </c>
      <c r="S30" s="79">
        <f t="shared" si="4"/>
        <v>57.342465753424655</v>
      </c>
      <c r="T30" s="57">
        <v>11800</v>
      </c>
      <c r="U30" s="49">
        <f t="shared" ref="U30:U31" si="27">P30-T30</f>
        <v>-300</v>
      </c>
      <c r="V30" s="8">
        <f t="shared" si="9"/>
        <v>805.00000000000011</v>
      </c>
    </row>
    <row r="31" spans="1:22" ht="35.1" hidden="1" customHeight="1" thickBot="1" x14ac:dyDescent="0.3">
      <c r="A31" s="248"/>
      <c r="B31" s="86" t="s">
        <v>97</v>
      </c>
      <c r="C31" s="3" t="s">
        <v>63</v>
      </c>
      <c r="D31" s="97" t="s">
        <v>48</v>
      </c>
      <c r="E31" s="20">
        <v>325000</v>
      </c>
      <c r="F31" s="96">
        <v>2000</v>
      </c>
      <c r="G31" s="31">
        <v>1503.3698630136987</v>
      </c>
      <c r="H31" s="165">
        <v>350</v>
      </c>
      <c r="I31" s="13">
        <v>600</v>
      </c>
      <c r="J31" s="13"/>
      <c r="K31" s="14">
        <v>0</v>
      </c>
      <c r="L31" s="12">
        <f t="shared" si="0"/>
        <v>0</v>
      </c>
      <c r="M31" s="3"/>
      <c r="N31" s="166">
        <f t="shared" si="25"/>
        <v>4453.3698630136987</v>
      </c>
      <c r="O31" s="55">
        <v>0.1</v>
      </c>
      <c r="P31" s="58">
        <f t="shared" si="1"/>
        <v>288400</v>
      </c>
      <c r="Q31" s="39">
        <f t="shared" si="2"/>
        <v>320546.63013698632</v>
      </c>
      <c r="R31" s="51">
        <f t="shared" si="26"/>
        <v>32146.630136986321</v>
      </c>
      <c r="S31" s="79">
        <f t="shared" si="4"/>
        <v>1438.0493150684931</v>
      </c>
      <c r="T31" s="57">
        <v>301500</v>
      </c>
      <c r="U31" s="49">
        <f t="shared" si="27"/>
        <v>-13100</v>
      </c>
      <c r="V31" s="8">
        <f t="shared" si="9"/>
        <v>20188.000000000004</v>
      </c>
    </row>
    <row r="32" spans="1:22" ht="39.950000000000003" hidden="1" customHeight="1" thickBot="1" x14ac:dyDescent="0.3">
      <c r="A32" s="249" t="s">
        <v>50</v>
      </c>
      <c r="B32" s="250"/>
      <c r="C32" s="3" t="s">
        <v>64</v>
      </c>
      <c r="D32" s="98" t="s">
        <v>48</v>
      </c>
      <c r="E32" s="20">
        <v>30000</v>
      </c>
      <c r="F32" s="194">
        <v>400</v>
      </c>
      <c r="G32" s="195">
        <v>107.20547945205479</v>
      </c>
      <c r="H32" s="196">
        <v>350</v>
      </c>
      <c r="I32" s="197">
        <v>600</v>
      </c>
      <c r="J32" s="197">
        <v>750</v>
      </c>
      <c r="K32" s="198">
        <v>0</v>
      </c>
      <c r="L32" s="199">
        <f t="shared" si="0"/>
        <v>0</v>
      </c>
      <c r="M32" s="200"/>
      <c r="N32" s="201">
        <f>L32+H32+G32+F32+J32+M32+I32</f>
        <v>2207.2054794520545</v>
      </c>
      <c r="O32" s="55">
        <v>0.1</v>
      </c>
      <c r="P32" s="58">
        <f t="shared" si="1"/>
        <v>25000</v>
      </c>
      <c r="Q32" s="39">
        <f t="shared" si="2"/>
        <v>27792.794520547945</v>
      </c>
      <c r="R32" s="51">
        <f t="shared" si="26"/>
        <v>2792.7945205479446</v>
      </c>
      <c r="S32" s="79">
        <f t="shared" si="4"/>
        <v>124.65753424657532</v>
      </c>
      <c r="T32" s="57">
        <v>21500</v>
      </c>
      <c r="V32" s="8">
        <f t="shared" si="9"/>
        <v>1750.0000000000002</v>
      </c>
    </row>
    <row r="33" spans="1:28" ht="39.950000000000003" hidden="1" customHeight="1" thickBot="1" x14ac:dyDescent="0.3">
      <c r="A33" s="249" t="s">
        <v>51</v>
      </c>
      <c r="B33" s="250"/>
      <c r="C33" s="3" t="s">
        <v>65</v>
      </c>
      <c r="D33" s="98" t="s">
        <v>48</v>
      </c>
      <c r="E33" s="20">
        <v>25000</v>
      </c>
      <c r="F33" s="187">
        <v>400</v>
      </c>
      <c r="G33" s="188">
        <v>107.20547945205479</v>
      </c>
      <c r="H33" s="189">
        <v>114</v>
      </c>
      <c r="I33" s="189">
        <v>120</v>
      </c>
      <c r="J33" s="189"/>
      <c r="K33" s="190">
        <v>0</v>
      </c>
      <c r="L33" s="191">
        <f t="shared" si="0"/>
        <v>0</v>
      </c>
      <c r="M33" s="192"/>
      <c r="N33" s="193">
        <f>L33+H33+G33+F33+J33+M33+I33</f>
        <v>741.20547945205476</v>
      </c>
      <c r="O33" s="55">
        <v>0.1</v>
      </c>
      <c r="P33" s="58">
        <f t="shared" si="1"/>
        <v>21800</v>
      </c>
      <c r="Q33" s="39">
        <f t="shared" si="2"/>
        <v>24258.794520547945</v>
      </c>
      <c r="R33" s="51">
        <f t="shared" si="3"/>
        <v>2458.7945205479446</v>
      </c>
      <c r="S33" s="79">
        <f t="shared" si="4"/>
        <v>108.7013698630137</v>
      </c>
      <c r="T33" s="57">
        <v>13600</v>
      </c>
      <c r="V33" s="8">
        <f t="shared" si="9"/>
        <v>1526.0000000000002</v>
      </c>
    </row>
    <row r="34" spans="1:2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R34" s="42"/>
    </row>
    <row r="35" spans="1:28" s="242" customFormat="1" ht="99.95" customHeight="1" x14ac:dyDescent="0.35">
      <c r="A35" s="245" t="s">
        <v>110</v>
      </c>
      <c r="B35" s="245"/>
      <c r="C35" s="245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1:28" s="242" customFormat="1" ht="99.95" customHeight="1" x14ac:dyDescent="0.35">
      <c r="A36" s="245" t="s">
        <v>111</v>
      </c>
      <c r="B36" s="245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49" spans="5:12" x14ac:dyDescent="0.25">
      <c r="J49">
        <v>90</v>
      </c>
      <c r="K49">
        <v>17000</v>
      </c>
      <c r="L49">
        <f>K49*J49</f>
        <v>1530000</v>
      </c>
    </row>
    <row r="50" spans="5:12" x14ac:dyDescent="0.25">
      <c r="E50">
        <v>17000</v>
      </c>
      <c r="F50">
        <f>E50*90%</f>
        <v>15300</v>
      </c>
      <c r="J50">
        <v>10</v>
      </c>
      <c r="K50">
        <v>15100</v>
      </c>
      <c r="L50">
        <f>K50*J50</f>
        <v>151000</v>
      </c>
    </row>
    <row r="51" spans="5:12" x14ac:dyDescent="0.25">
      <c r="E51">
        <v>15100</v>
      </c>
      <c r="F51">
        <f>E51*10%</f>
        <v>1510</v>
      </c>
      <c r="L51">
        <f>SUM(L49:L50)</f>
        <v>1681000</v>
      </c>
    </row>
    <row r="52" spans="5:12" x14ac:dyDescent="0.25">
      <c r="F52">
        <f>SUM(F50:F51)</f>
        <v>16810</v>
      </c>
      <c r="L52">
        <f>L51/100</f>
        <v>16810</v>
      </c>
    </row>
    <row r="53" spans="5:12" x14ac:dyDescent="0.25">
      <c r="E53">
        <v>12000</v>
      </c>
      <c r="F53">
        <f>E53*90%</f>
        <v>10800</v>
      </c>
    </row>
    <row r="54" spans="5:12" x14ac:dyDescent="0.25">
      <c r="E54">
        <v>10300</v>
      </c>
      <c r="F54">
        <f>E54*10%</f>
        <v>1030</v>
      </c>
    </row>
  </sheetData>
  <mergeCells count="21">
    <mergeCell ref="A20:A21"/>
    <mergeCell ref="A1:O1"/>
    <mergeCell ref="P3:R3"/>
    <mergeCell ref="A5:N5"/>
    <mergeCell ref="P5:R5"/>
    <mergeCell ref="A7:B8"/>
    <mergeCell ref="C7:C8"/>
    <mergeCell ref="D7:D8"/>
    <mergeCell ref="E7:E8"/>
    <mergeCell ref="F7:N7"/>
    <mergeCell ref="O7:O8"/>
    <mergeCell ref="P7:P8"/>
    <mergeCell ref="R7:R8"/>
    <mergeCell ref="A9:A14"/>
    <mergeCell ref="A15:A17"/>
    <mergeCell ref="A18:A19"/>
    <mergeCell ref="A22:A24"/>
    <mergeCell ref="A25:A28"/>
    <mergeCell ref="A29:A31"/>
    <mergeCell ref="A32:B32"/>
    <mergeCell ref="A33:B33"/>
  </mergeCells>
  <pageMargins left="0.39370078740157483" right="0.39370078740157483" top="0.39370078740157483" bottom="0.39370078740157483" header="0" footer="0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F43B-C61F-4270-8B94-E1CB69A45813}">
  <sheetPr>
    <tabColor rgb="FF00B0F0"/>
    <pageSetUpPr fitToPage="1"/>
  </sheetPr>
  <dimension ref="A2:J44"/>
  <sheetViews>
    <sheetView tabSelected="1" view="pageBreakPreview" zoomScale="60" zoomScaleNormal="55" workbookViewId="0">
      <selection activeCell="D19" sqref="D19:F19"/>
    </sheetView>
  </sheetViews>
  <sheetFormatPr defaultRowHeight="15.75" x14ac:dyDescent="0.25"/>
  <cols>
    <col min="1" max="1" width="32.625" style="61" customWidth="1"/>
    <col min="2" max="2" width="25.75" style="113" hidden="1" customWidth="1"/>
    <col min="3" max="3" width="100.625" style="61" customWidth="1"/>
    <col min="4" max="5" width="30.625" style="61" customWidth="1"/>
    <col min="6" max="6" width="18.75" style="61" customWidth="1"/>
    <col min="7" max="7" width="30.625" style="129" customWidth="1"/>
  </cols>
  <sheetData>
    <row r="2" spans="1:10" ht="30" customHeight="1" x14ac:dyDescent="0.25">
      <c r="D2" s="274" t="s">
        <v>17</v>
      </c>
      <c r="E2" s="274"/>
      <c r="F2" s="274"/>
    </row>
    <row r="3" spans="1:10" ht="30" customHeight="1" x14ac:dyDescent="0.25">
      <c r="D3" s="274" t="s">
        <v>101</v>
      </c>
      <c r="E3" s="274"/>
      <c r="F3" s="274"/>
    </row>
    <row r="4" spans="1:10" ht="30" customHeight="1" x14ac:dyDescent="0.45">
      <c r="D4" s="62"/>
      <c r="E4" s="62"/>
      <c r="F4" s="62"/>
    </row>
    <row r="5" spans="1:10" ht="30" customHeight="1" x14ac:dyDescent="0.25">
      <c r="D5" s="274" t="s">
        <v>108</v>
      </c>
      <c r="E5" s="274"/>
      <c r="F5" s="274"/>
    </row>
    <row r="6" spans="1:10" ht="26.25" x14ac:dyDescent="0.4">
      <c r="D6" s="63"/>
      <c r="E6" s="63"/>
      <c r="F6" s="63"/>
    </row>
    <row r="7" spans="1:10" s="64" customFormat="1" ht="39.950000000000003" customHeight="1" x14ac:dyDescent="0.55000000000000004">
      <c r="A7" s="275" t="s">
        <v>42</v>
      </c>
      <c r="B7" s="275"/>
      <c r="C7" s="275"/>
      <c r="D7" s="275"/>
      <c r="E7" s="275"/>
      <c r="F7" s="275"/>
      <c r="G7" s="130"/>
    </row>
    <row r="8" spans="1:10" s="64" customFormat="1" ht="39.950000000000003" customHeight="1" x14ac:dyDescent="0.55000000000000004">
      <c r="A8" s="275" t="s">
        <v>27</v>
      </c>
      <c r="B8" s="275"/>
      <c r="C8" s="275"/>
      <c r="D8" s="275"/>
      <c r="E8" s="275"/>
      <c r="F8" s="275"/>
      <c r="G8" s="130"/>
    </row>
    <row r="9" spans="1:10" s="1" customFormat="1" ht="39.950000000000003" customHeight="1" thickBot="1" x14ac:dyDescent="0.3">
      <c r="A9" s="65"/>
      <c r="B9" s="114"/>
      <c r="C9" s="65"/>
      <c r="D9" s="65"/>
      <c r="E9" s="307" t="str">
        <f>'Прайс Уфа'!E9</f>
        <v>от 17.01.2023 г.</v>
      </c>
      <c r="F9" s="307"/>
    </row>
    <row r="10" spans="1:10" ht="110.1" customHeight="1" thickBot="1" x14ac:dyDescent="0.3">
      <c r="A10" s="299" t="s">
        <v>40</v>
      </c>
      <c r="B10" s="300" t="s">
        <v>41</v>
      </c>
      <c r="C10" s="302" t="s">
        <v>19</v>
      </c>
      <c r="D10" s="304" t="s">
        <v>103</v>
      </c>
      <c r="E10" s="305"/>
      <c r="F10" s="306"/>
      <c r="G10" s="127"/>
    </row>
    <row r="11" spans="1:10" ht="69.95" customHeight="1" thickBot="1" x14ac:dyDescent="0.3">
      <c r="A11" s="283"/>
      <c r="B11" s="301"/>
      <c r="C11" s="303"/>
      <c r="D11" s="308" t="s">
        <v>99</v>
      </c>
      <c r="E11" s="305"/>
      <c r="F11" s="309"/>
      <c r="G11"/>
    </row>
    <row r="12" spans="1:10" ht="54.95" hidden="1" customHeight="1" x14ac:dyDescent="0.25">
      <c r="A12" s="125" t="s">
        <v>31</v>
      </c>
      <c r="B12" s="116" t="str">
        <f>'Расчет Уфа'!B9</f>
        <v>А2</v>
      </c>
      <c r="C12" s="134" t="str">
        <f>'Расчет Уфа'!C9</f>
        <v>Проводники тока разделанные механическим способом</v>
      </c>
      <c r="D12" s="144"/>
      <c r="E12" s="145">
        <f>'Прайс Уфа'!E12</f>
        <v>132000</v>
      </c>
      <c r="F12"/>
      <c r="G12" s="49"/>
    </row>
    <row r="13" spans="1:10" ht="120" customHeight="1" thickBot="1" x14ac:dyDescent="0.3">
      <c r="A13" s="218" t="s">
        <v>70</v>
      </c>
      <c r="B13" s="219"/>
      <c r="C13" s="135" t="s">
        <v>75</v>
      </c>
      <c r="D13" s="310">
        <f>'Прайс Уфа'!E14</f>
        <v>118000</v>
      </c>
      <c r="E13" s="311"/>
      <c r="F13" s="312"/>
      <c r="G13" s="49"/>
    </row>
    <row r="14" spans="1:10" ht="50.1" hidden="1" customHeight="1" x14ac:dyDescent="0.25">
      <c r="A14" s="126"/>
      <c r="B14" s="217" t="e">
        <f>'Расчет Уфа'!#REF!</f>
        <v>#REF!</v>
      </c>
      <c r="C14" s="210" t="e">
        <f>'Расчет Уфа'!#REF!</f>
        <v>#REF!</v>
      </c>
      <c r="D14" s="140"/>
      <c r="E14" s="146" t="e">
        <f>FLOOR(#REF!-#REF!*0.07,100)</f>
        <v>#REF!</v>
      </c>
      <c r="F14" s="221"/>
      <c r="G14" s="49"/>
    </row>
    <row r="15" spans="1:10" ht="80.099999999999994" hidden="1" customHeight="1" thickBot="1" x14ac:dyDescent="0.3">
      <c r="A15" s="126"/>
      <c r="B15" s="115" t="str">
        <f>'Расчет Уфа'!B11</f>
        <v>А4</v>
      </c>
      <c r="C15" s="66" t="str">
        <f>'Расчет Уфа'!C11</f>
        <v>Дверные, оконные профили без стальных примесей.</v>
      </c>
      <c r="D15" s="139"/>
      <c r="E15" s="148" t="e">
        <f>FLOOR(#REF!-#REF!*0.07,100)</f>
        <v>#REF!</v>
      </c>
      <c r="F15" s="221"/>
      <c r="G15" s="49"/>
    </row>
    <row r="16" spans="1:10" ht="120" customHeight="1" thickBot="1" x14ac:dyDescent="0.3">
      <c r="A16" s="119" t="s">
        <v>71</v>
      </c>
      <c r="B16" s="222"/>
      <c r="C16" s="94" t="str">
        <f>'Расчет Уфа'!C12</f>
        <v>Сплавы деформируемые, листы, обрезь, моторный алюминий.</v>
      </c>
      <c r="D16" s="310">
        <f>'Прайс Уфа'!E15</f>
        <v>96000</v>
      </c>
      <c r="E16" s="311"/>
      <c r="F16" s="312"/>
      <c r="G16" s="49"/>
      <c r="J16" s="69"/>
    </row>
    <row r="17" spans="1:10" ht="60" hidden="1" customHeight="1" thickBot="1" x14ac:dyDescent="0.3">
      <c r="A17" s="126"/>
      <c r="B17" s="209" t="str">
        <f>'Расчет Уфа'!B13</f>
        <v>А22</v>
      </c>
      <c r="C17" s="220" t="str">
        <f>'Расчет Уфа'!C13</f>
        <v>Стружка разносортная</v>
      </c>
      <c r="D17" s="144"/>
      <c r="E17" s="208" t="e">
        <f>FLOOR(#REF!-#REF!*0.07,100)</f>
        <v>#REF!</v>
      </c>
      <c r="F17" s="147"/>
      <c r="G17" s="49"/>
    </row>
    <row r="18" spans="1:10" ht="129.94999999999999" hidden="1" customHeight="1" x14ac:dyDescent="0.25">
      <c r="A18" s="298" t="s">
        <v>43</v>
      </c>
      <c r="B18" s="116" t="str">
        <f>'Расчет Уфа'!B15</f>
        <v>М1</v>
      </c>
      <c r="C18" s="92" t="str">
        <f>'Расчет Уфа'!C15</f>
        <v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v>
      </c>
      <c r="D18" s="211"/>
      <c r="E18" s="212" t="e">
        <f>FLOOR(#REF!-#REF!*0.07,100)</f>
        <v>#REF!</v>
      </c>
      <c r="F18" s="213"/>
      <c r="G18" s="49"/>
    </row>
    <row r="19" spans="1:10" ht="69.95" customHeight="1" thickBot="1" x14ac:dyDescent="0.3">
      <c r="A19" s="294"/>
      <c r="B19" s="117" t="str">
        <f>'Расчет Уфа'!B16</f>
        <v>М2</v>
      </c>
      <c r="C19" s="66" t="s">
        <v>76</v>
      </c>
      <c r="D19" s="310">
        <f>'Расчет Стерлитамак'!P16+2000</f>
        <v>522000</v>
      </c>
      <c r="E19" s="311"/>
      <c r="F19" s="312"/>
      <c r="G19" s="49"/>
    </row>
    <row r="20" spans="1:10" ht="60" hidden="1" customHeight="1" thickBot="1" x14ac:dyDescent="0.3">
      <c r="A20" s="295"/>
      <c r="B20" s="118" t="str">
        <f>'Расчет Уфа'!B17</f>
        <v>М8</v>
      </c>
      <c r="C20" s="94" t="str">
        <f>'Расчет Уфа'!C17</f>
        <v>Стружка</v>
      </c>
      <c r="D20" s="214"/>
      <c r="E20" s="215" t="e">
        <f>FLOOR(#REF!-#REF!*0.07,100)</f>
        <v>#REF!</v>
      </c>
      <c r="F20" s="216"/>
      <c r="G20" s="49"/>
      <c r="J20" s="69"/>
    </row>
    <row r="21" spans="1:10" ht="50.1" hidden="1" customHeight="1" thickBot="1" x14ac:dyDescent="0.3">
      <c r="A21" s="294" t="s">
        <v>44</v>
      </c>
      <c r="B21" s="209" t="str">
        <f>'Расчет Уфа'!B18</f>
        <v>Бр14</v>
      </c>
      <c r="C21" s="210" t="str">
        <f>'Расчет Уфа'!C18</f>
        <v>Кусковой лом</v>
      </c>
      <c r="D21" s="140"/>
      <c r="E21" s="146" t="e">
        <f>FLOOR(#REF!-#REF!*0.07,100)</f>
        <v>#REF!</v>
      </c>
      <c r="F21" s="147"/>
      <c r="G21" s="49"/>
    </row>
    <row r="22" spans="1:10" ht="50.1" hidden="1" customHeight="1" thickBot="1" x14ac:dyDescent="0.3">
      <c r="A22" s="295"/>
      <c r="B22" s="119" t="str">
        <f>'Расчет Уфа'!B19</f>
        <v>Б</v>
      </c>
      <c r="C22" s="94" t="str">
        <f>'Расчет Уфа'!C19</f>
        <v>Стружка</v>
      </c>
      <c r="D22" s="144"/>
      <c r="E22" s="148" t="e">
        <f>FLOOR(#REF!-#REF!*0.07,100)</f>
        <v>#REF!</v>
      </c>
      <c r="F22" s="147"/>
      <c r="G22" s="49"/>
    </row>
    <row r="23" spans="1:10" ht="69.95" customHeight="1" thickBot="1" x14ac:dyDescent="0.3">
      <c r="A23" s="296" t="s">
        <v>72</v>
      </c>
      <c r="B23" s="120" t="s">
        <v>67</v>
      </c>
      <c r="C23" s="92" t="str">
        <f>'Расчет Уфа'!C20</f>
        <v>Кусковой лом, сантехника, трубки, чайники, самовары, сепараторы</v>
      </c>
      <c r="D23" s="310">
        <f>'Расчет Стерлитамак'!P20-500</f>
        <v>280500</v>
      </c>
      <c r="E23" s="311"/>
      <c r="F23" s="312"/>
      <c r="G23" s="49"/>
    </row>
    <row r="24" spans="1:10" ht="54.95" hidden="1" customHeight="1" thickBot="1" x14ac:dyDescent="0.3">
      <c r="A24" s="297"/>
      <c r="B24" s="119" t="str">
        <f>'Расчет Уфа'!B21</f>
        <v>Л21</v>
      </c>
      <c r="C24" s="94" t="str">
        <f>'Расчет Уфа'!C21</f>
        <v>Стружка</v>
      </c>
      <c r="D24" s="144"/>
      <c r="E24" s="146" t="e">
        <f>FLOOR(#REF!-#REF!*0.07,100)</f>
        <v>#REF!</v>
      </c>
      <c r="F24" s="147"/>
      <c r="G24" s="49"/>
    </row>
    <row r="25" spans="1:10" ht="54.95" hidden="1" customHeight="1" x14ac:dyDescent="0.25">
      <c r="A25" s="298" t="s">
        <v>46</v>
      </c>
      <c r="B25" s="116" t="str">
        <f>'Расчет Уфа'!B22</f>
        <v>Т1</v>
      </c>
      <c r="C25" s="92" t="str">
        <f>'Расчет Уфа'!C22</f>
        <v>Кусковой лом (чистый) ВТ 1-00</v>
      </c>
      <c r="D25" s="140"/>
      <c r="E25" s="149" t="e">
        <f>FLOOR(#REF!-#REF!*0.07,100)</f>
        <v>#REF!</v>
      </c>
      <c r="F25" s="147"/>
      <c r="G25" s="49"/>
    </row>
    <row r="26" spans="1:10" ht="54.95" hidden="1" customHeight="1" thickBot="1" x14ac:dyDescent="0.3">
      <c r="A26" s="294"/>
      <c r="B26" s="117" t="str">
        <f>'Расчет Уфа'!B23</f>
        <v>Т4</v>
      </c>
      <c r="C26" s="66" t="str">
        <f>'Расчет Уфа'!C23</f>
        <v>Кусковой лом ВТ-5, ВТ-20 (микс)</v>
      </c>
      <c r="D26" s="139"/>
      <c r="E26" s="149" t="e">
        <f>FLOOR(#REF!-#REF!*0.07,100)</f>
        <v>#REF!</v>
      </c>
      <c r="F26" s="147"/>
      <c r="G26" s="49"/>
    </row>
    <row r="27" spans="1:10" ht="50.1" hidden="1" customHeight="1" thickBot="1" x14ac:dyDescent="0.3">
      <c r="A27" s="295"/>
      <c r="B27" s="118" t="str">
        <f>'Расчет Уфа'!B24</f>
        <v>Б</v>
      </c>
      <c r="C27" s="94" t="str">
        <f>'Расчет Уфа'!C24</f>
        <v>Стружка смешанная</v>
      </c>
      <c r="D27" s="144"/>
      <c r="E27" s="148" t="e">
        <f>FLOOR(#REF!-#REF!*0.07,100)</f>
        <v>#REF!</v>
      </c>
      <c r="F27" s="147"/>
      <c r="G27" s="49"/>
    </row>
    <row r="28" spans="1:10" ht="60" customHeight="1" thickBot="1" x14ac:dyDescent="0.3">
      <c r="A28" s="152" t="s">
        <v>47</v>
      </c>
      <c r="B28" s="116" t="s">
        <v>32</v>
      </c>
      <c r="C28" s="134" t="s">
        <v>74</v>
      </c>
      <c r="D28" s="315">
        <f>'Расчет Стерлитамак'!P26+500</f>
        <v>87000</v>
      </c>
      <c r="E28" s="316"/>
      <c r="F28" s="317"/>
      <c r="G28" s="49"/>
    </row>
    <row r="29" spans="1:10" ht="80.099999999999994" customHeight="1" x14ac:dyDescent="0.25">
      <c r="A29" s="298" t="s">
        <v>73</v>
      </c>
      <c r="B29" s="207" t="str">
        <f>'Расчет Уфа'!B27</f>
        <v>С12</v>
      </c>
      <c r="C29" s="92" t="str">
        <f>'Расчет Уфа'!C27</f>
        <v>Аккумуляторы, корпус из полипропилена (с электролитом -10% засор, без электролита — 5%)</v>
      </c>
      <c r="D29" s="318">
        <f>'Расчет Стерлитамак'!P27</f>
        <v>33000</v>
      </c>
      <c r="E29" s="319"/>
      <c r="F29" s="320"/>
      <c r="G29" s="49"/>
    </row>
    <row r="30" spans="1:10" ht="80.099999999999994" customHeight="1" thickBot="1" x14ac:dyDescent="0.3">
      <c r="A30" s="295"/>
      <c r="B30" s="118" t="str">
        <f>'Расчет Уфа'!B28</f>
        <v>С10</v>
      </c>
      <c r="C30" s="94" t="str">
        <f>'Расчет Уфа'!C28</f>
        <v>Аккумуляторы, корпус из эбонита или карболита  (с электролитом -10% засор, без электролита — 5%)</v>
      </c>
      <c r="D30" s="321">
        <f>'Расчет Стерлитамак'!P28+1000</f>
        <v>29500</v>
      </c>
      <c r="E30" s="322"/>
      <c r="F30" s="323"/>
      <c r="G30" s="49"/>
    </row>
    <row r="31" spans="1:10" ht="80.099999999999994" hidden="1" customHeight="1" x14ac:dyDescent="0.25">
      <c r="A31" s="284" t="s">
        <v>49</v>
      </c>
      <c r="B31" s="116" t="str">
        <f>'Расчет Уфа'!B29</f>
        <v>А26</v>
      </c>
      <c r="C31" s="92" t="str">
        <f>'Расчет Уфа'!C29</f>
        <v>Силовой кабель с алюминиевой жилой (по % выхода алюминия)</v>
      </c>
      <c r="D31" s="70">
        <f>'Прайс Уфа'!D32</f>
        <v>100500</v>
      </c>
      <c r="E31" s="137"/>
      <c r="F31" s="78">
        <f>'Прайс Уфа'!E32</f>
        <v>96000</v>
      </c>
      <c r="I31" s="49"/>
    </row>
    <row r="32" spans="1:10" ht="80.099999999999994" hidden="1" customHeight="1" x14ac:dyDescent="0.25">
      <c r="A32" s="285"/>
      <c r="B32" s="117" t="str">
        <f>'Расчет Уфа'!B30</f>
        <v>А26</v>
      </c>
      <c r="C32" s="66" t="str">
        <f>'Расчет Уфа'!C30</f>
        <v>Контрольный кабель с алюминиевый жилой, содержание алюминия до 20%</v>
      </c>
      <c r="D32" s="67">
        <f>'Прайс Уфа'!D33</f>
        <v>5000</v>
      </c>
      <c r="E32" s="138"/>
      <c r="F32" s="68">
        <f>'Прайс Уфа'!E33</f>
        <v>4000</v>
      </c>
      <c r="I32" s="49"/>
    </row>
    <row r="33" spans="1:9" ht="80.099999999999994" hidden="1" customHeight="1" thickBot="1" x14ac:dyDescent="0.3">
      <c r="A33" s="286"/>
      <c r="B33" s="118" t="str">
        <f>'Расчет Уфа'!B31</f>
        <v>М12</v>
      </c>
      <c r="C33" s="94" t="str">
        <f>'Расчет Уфа'!C31</f>
        <v>Силовой и контрольный кабель с медной жилой (по % выхода меди)</v>
      </c>
      <c r="D33" s="95">
        <f>'Прайс Уфа'!D34</f>
        <v>372000</v>
      </c>
      <c r="E33" s="141"/>
      <c r="F33" s="103">
        <f>'Прайс Уфа'!E34</f>
        <v>357000</v>
      </c>
      <c r="I33" s="49"/>
    </row>
    <row r="34" spans="1:9" ht="60" hidden="1" customHeight="1" thickBot="1" x14ac:dyDescent="0.3">
      <c r="A34" s="313" t="str">
        <f>'Расчет Уфа'!A32:B32</f>
        <v>Электродвигатели</v>
      </c>
      <c r="B34" s="314"/>
      <c r="C34" s="104" t="str">
        <f>'Расчет Уфа'!C32</f>
        <v xml:space="preserve">Электродвигатели масса от 50 кг, </v>
      </c>
      <c r="D34" s="109">
        <f>'Прайс Уфа'!D35</f>
        <v>33000</v>
      </c>
      <c r="E34" s="142"/>
      <c r="F34" s="105">
        <f>'Прайс Уфа'!E35</f>
        <v>31000</v>
      </c>
      <c r="G34" s="129">
        <f t="shared" ref="G34:G35" si="0">D34-(D34*3%)</f>
        <v>32010</v>
      </c>
      <c r="I34" s="49">
        <f t="shared" ref="I34:I35" si="1">D34-F34</f>
        <v>2000</v>
      </c>
    </row>
    <row r="35" spans="1:9" ht="60" hidden="1" customHeight="1" thickBot="1" x14ac:dyDescent="0.3">
      <c r="A35" s="287" t="str">
        <f>'Расчет Уфа'!A33:B33</f>
        <v>ТНЖ</v>
      </c>
      <c r="B35" s="288"/>
      <c r="C35" s="110" t="str">
        <f>'Расчет Уфа'!C33</f>
        <v>Железо-никелевые аккумуляторы, масса от 10 кг</v>
      </c>
      <c r="D35" s="111">
        <f>'Прайс Уфа'!D36</f>
        <v>21800</v>
      </c>
      <c r="E35" s="143"/>
      <c r="F35" s="112">
        <f>'Прайс Уфа'!E36</f>
        <v>20000</v>
      </c>
      <c r="G35" s="129">
        <f t="shared" si="0"/>
        <v>21146</v>
      </c>
      <c r="I35" s="49">
        <f t="shared" si="1"/>
        <v>1800</v>
      </c>
    </row>
    <row r="36" spans="1:9" ht="39.950000000000003" customHeight="1" x14ac:dyDescent="0.25">
      <c r="A36" s="71"/>
      <c r="B36" s="121"/>
      <c r="C36" s="72"/>
      <c r="D36" s="71"/>
      <c r="E36" s="71"/>
      <c r="F36" s="71"/>
    </row>
    <row r="37" spans="1:9" s="73" customFormat="1" ht="33" customHeight="1" x14ac:dyDescent="0.25">
      <c r="A37" s="274" t="s">
        <v>112</v>
      </c>
      <c r="B37" s="274"/>
      <c r="C37" s="274"/>
      <c r="D37" s="274"/>
      <c r="E37" s="274"/>
    </row>
    <row r="38" spans="1:9" s="73" customFormat="1" ht="33" hidden="1" customHeight="1" x14ac:dyDescent="0.25">
      <c r="A38" s="274" t="s">
        <v>22</v>
      </c>
      <c r="B38" s="274"/>
      <c r="C38" s="274"/>
      <c r="D38" s="108"/>
      <c r="E38" s="128"/>
      <c r="F38" s="108"/>
      <c r="G38" s="131"/>
    </row>
    <row r="39" spans="1:9" s="73" customFormat="1" ht="33" hidden="1" customHeight="1" x14ac:dyDescent="0.25">
      <c r="A39" s="274" t="s">
        <v>66</v>
      </c>
      <c r="B39" s="274"/>
      <c r="C39" s="274"/>
      <c r="D39" s="274"/>
      <c r="E39" s="274"/>
      <c r="F39" s="274"/>
      <c r="G39" s="131"/>
    </row>
    <row r="40" spans="1:9" s="73" customFormat="1" ht="33" customHeight="1" x14ac:dyDescent="0.25">
      <c r="A40" s="274" t="s">
        <v>24</v>
      </c>
      <c r="B40" s="274"/>
      <c r="C40" s="274"/>
      <c r="D40" s="274"/>
      <c r="E40" s="274"/>
      <c r="F40" s="274"/>
      <c r="G40" s="131"/>
    </row>
    <row r="41" spans="1:9" s="73" customFormat="1" ht="33" customHeight="1" x14ac:dyDescent="0.25">
      <c r="A41" s="108" t="s">
        <v>25</v>
      </c>
      <c r="B41" s="122"/>
      <c r="C41" s="108"/>
      <c r="D41" s="108"/>
      <c r="E41" s="128"/>
      <c r="F41" s="108"/>
      <c r="G41" s="131"/>
    </row>
    <row r="42" spans="1:9" s="73" customFormat="1" ht="33" customHeight="1" x14ac:dyDescent="0.25">
      <c r="A42" s="75" t="s">
        <v>26</v>
      </c>
      <c r="B42" s="123"/>
      <c r="C42" s="108"/>
      <c r="D42" s="108"/>
      <c r="E42" s="128"/>
      <c r="F42" s="108"/>
      <c r="G42" s="131"/>
    </row>
    <row r="43" spans="1:9" ht="28.5" x14ac:dyDescent="0.25">
      <c r="A43" s="108"/>
      <c r="B43" s="122"/>
      <c r="C43" s="108"/>
      <c r="D43" s="108"/>
      <c r="E43" s="128"/>
      <c r="F43" s="108"/>
    </row>
    <row r="44" spans="1:9" ht="28.5" x14ac:dyDescent="0.45">
      <c r="A44" s="76"/>
      <c r="B44" s="124"/>
      <c r="C44" s="76"/>
      <c r="D44" s="76"/>
      <c r="E44" s="76"/>
      <c r="F44" s="76"/>
    </row>
  </sheetData>
  <mergeCells count="30">
    <mergeCell ref="D23:F23"/>
    <mergeCell ref="D28:F28"/>
    <mergeCell ref="D29:F29"/>
    <mergeCell ref="D30:F30"/>
    <mergeCell ref="A29:A30"/>
    <mergeCell ref="A40:F40"/>
    <mergeCell ref="A31:A33"/>
    <mergeCell ref="A34:B34"/>
    <mergeCell ref="A35:B35"/>
    <mergeCell ref="A38:C38"/>
    <mergeCell ref="A39:F39"/>
    <mergeCell ref="A37:E37"/>
    <mergeCell ref="C10:C11"/>
    <mergeCell ref="D10:F10"/>
    <mergeCell ref="A18:A20"/>
    <mergeCell ref="D2:F2"/>
    <mergeCell ref="D3:F3"/>
    <mergeCell ref="D5:F5"/>
    <mergeCell ref="A7:F7"/>
    <mergeCell ref="A8:F8"/>
    <mergeCell ref="E9:F9"/>
    <mergeCell ref="D11:F11"/>
    <mergeCell ref="D13:F13"/>
    <mergeCell ref="D16:F16"/>
    <mergeCell ref="D19:F19"/>
    <mergeCell ref="A21:A22"/>
    <mergeCell ref="A23:A24"/>
    <mergeCell ref="A25:A27"/>
    <mergeCell ref="A10:A11"/>
    <mergeCell ref="B10:B11"/>
  </mergeCells>
  <hyperlinks>
    <hyperlink ref="A42" r:id="rId1" xr:uid="{354F684E-63CC-415E-BA81-6B69AFEBA23D}"/>
  </hyperlinks>
  <pageMargins left="0.59055118110236227" right="0.59055118110236227" top="0.19685039370078741" bottom="0.19685039370078741" header="0" footer="0"/>
  <pageSetup paperSize="9" scale="3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Компьютер 20</cp:lastModifiedBy>
  <cp:lastPrinted>2023-01-16T06:40:43Z</cp:lastPrinted>
  <dcterms:created xsi:type="dcterms:W3CDTF">2016-05-10T09:27:16Z</dcterms:created>
  <dcterms:modified xsi:type="dcterms:W3CDTF">2023-01-17T04:28:42Z</dcterms:modified>
</cp:coreProperties>
</file>